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dvisory Client-assignments\_PUBLIC_SECTOR\_European Institution\CHAFEA\FC EAHC 2013 Health 01_ lot 2 Health Economics\RFS\2016_11 Telemedicine market study\Assignment\05. Final deliverables\"/>
    </mc:Choice>
  </mc:AlternateContent>
  <bookViews>
    <workbookView xWindow="11710" yWindow="0" windowWidth="15360" windowHeight="9300"/>
  </bookViews>
  <sheets>
    <sheet name="DecisionML" sheetId="1" r:id="rId1"/>
    <sheet name="Nodes" sheetId="2" r:id="rId2"/>
    <sheet name="Population" sheetId="6" r:id="rId3"/>
    <sheet name="DoctorVisits" sheetId="7" r:id="rId4"/>
    <sheet name="Parameters" sheetId="4" r:id="rId5"/>
  </sheets>
  <definedNames>
    <definedName name="_xlnm._FilterDatabase" localSheetId="1" hidden="1">Nodes!#REF!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65" i="1" l="1"/>
  <c r="AH65" i="1" s="1"/>
  <c r="AF65" i="1" s="1"/>
  <c r="AH64" i="1"/>
  <c r="AF64" i="1" s="1"/>
  <c r="AG64" i="1"/>
  <c r="AG63" i="1"/>
  <c r="AH63" i="1" s="1"/>
  <c r="AF63" i="1" s="1"/>
  <c r="AH62" i="1"/>
  <c r="AG62" i="1"/>
  <c r="AF62" i="1"/>
  <c r="AG61" i="1"/>
  <c r="AG54" i="1"/>
  <c r="AH54" i="1" s="1"/>
  <c r="AF54" i="1" s="1"/>
  <c r="AH53" i="1"/>
  <c r="AF53" i="1" s="1"/>
  <c r="AG53" i="1"/>
  <c r="AG52" i="1"/>
  <c r="AH52" i="1" s="1"/>
  <c r="AF52" i="1" s="1"/>
  <c r="AG51" i="1"/>
  <c r="AH51" i="1" s="1"/>
  <c r="AF51" i="1" s="1"/>
  <c r="AG50" i="1"/>
  <c r="AG43" i="1"/>
  <c r="AH43" i="1" s="1"/>
  <c r="AF43" i="1" s="1"/>
  <c r="AH42" i="1"/>
  <c r="AF42" i="1" s="1"/>
  <c r="AG42" i="1"/>
  <c r="AG41" i="1"/>
  <c r="AH41" i="1" s="1"/>
  <c r="AF41" i="1" s="1"/>
  <c r="AG40" i="1"/>
  <c r="AH40" i="1" s="1"/>
  <c r="AF40" i="1" s="1"/>
  <c r="AG39" i="1"/>
  <c r="AG32" i="1"/>
  <c r="AH32" i="1" s="1"/>
  <c r="AF32" i="1" s="1"/>
  <c r="AH31" i="1"/>
  <c r="AF31" i="1" s="1"/>
  <c r="AG31" i="1"/>
  <c r="AG30" i="1"/>
  <c r="AH30" i="1" s="1"/>
  <c r="AF30" i="1" s="1"/>
  <c r="AG29" i="1"/>
  <c r="AH29" i="1" s="1"/>
  <c r="AF29" i="1" s="1"/>
  <c r="AG28" i="1"/>
  <c r="AF18" i="1"/>
  <c r="AF21" i="1"/>
  <c r="AF20" i="1"/>
  <c r="AF19" i="1"/>
  <c r="AH21" i="1"/>
  <c r="AH20" i="1"/>
  <c r="AH19" i="1"/>
  <c r="AH18" i="1"/>
  <c r="AG17" i="1"/>
  <c r="AG21" i="1"/>
  <c r="AG10" i="1"/>
  <c r="AG20" i="1"/>
  <c r="AG9" i="1"/>
  <c r="AG18" i="1"/>
  <c r="AG19" i="1"/>
  <c r="AG7" i="1"/>
  <c r="AG8" i="1"/>
  <c r="AE65" i="1"/>
  <c r="AE64" i="1"/>
  <c r="AE63" i="1"/>
  <c r="AE62" i="1"/>
  <c r="AE54" i="1"/>
  <c r="AE53" i="1"/>
  <c r="AE52" i="1"/>
  <c r="AE51" i="1"/>
  <c r="AE43" i="1"/>
  <c r="AE42" i="1"/>
  <c r="AE41" i="1"/>
  <c r="AE40" i="1"/>
  <c r="AE32" i="1"/>
  <c r="AE31" i="1"/>
  <c r="AE30" i="1"/>
  <c r="AE29" i="1"/>
  <c r="AE21" i="1"/>
  <c r="AE20" i="1"/>
  <c r="AE19" i="1"/>
  <c r="AE18" i="1"/>
  <c r="Y10" i="1"/>
  <c r="Y9" i="1"/>
  <c r="Y8" i="1"/>
  <c r="Y7" i="1"/>
  <c r="Y21" i="1"/>
  <c r="Y20" i="1"/>
  <c r="Y19" i="1"/>
  <c r="Y18" i="1"/>
  <c r="Y32" i="1"/>
  <c r="Y31" i="1"/>
  <c r="Y30" i="1"/>
  <c r="Y29" i="1"/>
  <c r="Y43" i="1"/>
  <c r="Y42" i="1"/>
  <c r="Y41" i="1"/>
  <c r="Y40" i="1"/>
  <c r="Y54" i="1"/>
  <c r="Y53" i="1"/>
  <c r="Y52" i="1"/>
  <c r="Y51" i="1"/>
  <c r="Y65" i="1"/>
  <c r="Y64" i="1"/>
  <c r="Y63" i="1"/>
  <c r="Y62" i="1"/>
  <c r="AD65" i="1" l="1"/>
  <c r="AC65" i="1"/>
  <c r="AD64" i="1"/>
  <c r="AC64" i="1"/>
  <c r="AD63" i="1"/>
  <c r="AC63" i="1"/>
  <c r="AD62" i="1"/>
  <c r="AC62" i="1"/>
  <c r="AD61" i="1"/>
  <c r="AC61" i="1"/>
  <c r="H59" i="1" l="1"/>
  <c r="H60" i="1"/>
  <c r="H41" i="1"/>
  <c r="H42" i="1"/>
  <c r="H30" i="1"/>
  <c r="H31" i="1"/>
  <c r="C38" i="1" l="1"/>
  <c r="AC50" i="1" l="1"/>
  <c r="AD50" i="1"/>
  <c r="AC51" i="1"/>
  <c r="AD51" i="1"/>
  <c r="AC52" i="1"/>
  <c r="AD52" i="1"/>
  <c r="AC53" i="1"/>
  <c r="AD53" i="1"/>
  <c r="AC54" i="1"/>
  <c r="AD54" i="1"/>
  <c r="U6" i="6"/>
  <c r="U3" i="6" s="1"/>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5" i="6"/>
  <c r="T3" i="6"/>
  <c r="T6" i="6"/>
  <c r="T7" i="6"/>
  <c r="T8" i="6"/>
  <c r="T9" i="6"/>
  <c r="T10" i="6"/>
  <c r="T11" i="6"/>
  <c r="T12" i="6"/>
  <c r="T13" i="6"/>
  <c r="T14" i="6"/>
  <c r="T15" i="6"/>
  <c r="T16" i="6"/>
  <c r="T17" i="6"/>
  <c r="T18" i="6"/>
  <c r="T19" i="6"/>
  <c r="T20" i="6"/>
  <c r="T21" i="6"/>
  <c r="T22" i="6"/>
  <c r="T23" i="6"/>
  <c r="T24" i="6"/>
  <c r="T25" i="6"/>
  <c r="T26" i="6"/>
  <c r="T27" i="6"/>
  <c r="T28" i="6"/>
  <c r="T29" i="6"/>
  <c r="T30" i="6"/>
  <c r="T31" i="6"/>
  <c r="T32" i="6"/>
  <c r="T34" i="6"/>
  <c r="T35" i="6"/>
  <c r="T36" i="6"/>
  <c r="T37" i="6"/>
  <c r="T5" i="6"/>
  <c r="S3" i="6"/>
  <c r="AP10" i="1" l="1"/>
  <c r="R7" i="1"/>
  <c r="J50" i="1"/>
  <c r="J49" i="1"/>
  <c r="J47" i="1"/>
  <c r="J46" i="1"/>
  <c r="H47" i="1"/>
  <c r="H46" i="1"/>
  <c r="J21" i="1" l="1"/>
  <c r="J17" i="1"/>
  <c r="N40" i="7"/>
  <c r="N41" i="7"/>
  <c r="N42" i="7"/>
  <c r="N43" i="7"/>
  <c r="N44" i="7"/>
  <c r="N45" i="7"/>
  <c r="N46" i="7"/>
  <c r="N47" i="7"/>
  <c r="N48" i="7"/>
  <c r="N49" i="7"/>
  <c r="N50" i="7"/>
  <c r="N51" i="7"/>
  <c r="N52" i="7"/>
  <c r="N53" i="7"/>
  <c r="N54" i="7"/>
  <c r="N55" i="7"/>
  <c r="N56" i="7"/>
  <c r="N57" i="7"/>
  <c r="N58" i="7"/>
  <c r="N59" i="7"/>
  <c r="N60" i="7"/>
  <c r="N39" i="7"/>
  <c r="N5" i="7"/>
  <c r="N7" i="7"/>
  <c r="N8" i="7"/>
  <c r="N9" i="7"/>
  <c r="N12" i="7"/>
  <c r="N13" i="7"/>
  <c r="N14" i="7"/>
  <c r="N16" i="7"/>
  <c r="N17" i="7"/>
  <c r="N18" i="7"/>
  <c r="N19" i="7"/>
  <c r="N20" i="7"/>
  <c r="N22" i="7"/>
  <c r="N23" i="7"/>
  <c r="N24" i="7"/>
  <c r="N26" i="7"/>
  <c r="N27" i="7"/>
  <c r="N28" i="7"/>
  <c r="N29" i="7"/>
  <c r="N30" i="7"/>
  <c r="N34" i="7"/>
  <c r="N4" i="7"/>
  <c r="J29" i="1"/>
  <c r="J27" i="1"/>
  <c r="J18" i="1"/>
  <c r="J20" i="1"/>
  <c r="H17" i="1"/>
  <c r="H18" i="1"/>
  <c r="N36" i="7" l="1"/>
  <c r="N63" i="7"/>
  <c r="AD43" i="1"/>
  <c r="AD42" i="1"/>
  <c r="AD41" i="1"/>
  <c r="AD40" i="1"/>
  <c r="AD39" i="1"/>
  <c r="AD32" i="1"/>
  <c r="AD31" i="1"/>
  <c r="AD30" i="1"/>
  <c r="AD29" i="1"/>
  <c r="AD28" i="1"/>
  <c r="AD21" i="1"/>
  <c r="AD20" i="1"/>
  <c r="AD19" i="1"/>
  <c r="AD18" i="1"/>
  <c r="AD17" i="1"/>
  <c r="AD10" i="1"/>
  <c r="AC43" i="1"/>
  <c r="AC42" i="1"/>
  <c r="AC41" i="1"/>
  <c r="AC40" i="1"/>
  <c r="AC39" i="1"/>
  <c r="AC32" i="1"/>
  <c r="AC31" i="1"/>
  <c r="AC30" i="1"/>
  <c r="AC29" i="1"/>
  <c r="AC28" i="1"/>
  <c r="AC21" i="1"/>
  <c r="AC20" i="1"/>
  <c r="AC19" i="1"/>
  <c r="AC18" i="1"/>
  <c r="AC17" i="1"/>
  <c r="N66" i="7" l="1"/>
  <c r="AH5" i="6"/>
  <c r="AI5" i="6"/>
  <c r="AH6" i="6"/>
  <c r="AI6" i="6"/>
  <c r="AH7" i="6"/>
  <c r="AI7" i="6"/>
  <c r="AH8" i="6"/>
  <c r="AI8" i="6"/>
  <c r="AH9" i="6"/>
  <c r="AI9" i="6"/>
  <c r="AH10" i="6"/>
  <c r="AI10" i="6"/>
  <c r="AH11" i="6"/>
  <c r="AI11" i="6"/>
  <c r="AH12" i="6"/>
  <c r="AI12" i="6"/>
  <c r="AH13" i="6"/>
  <c r="AI13" i="6"/>
  <c r="AH14" i="6"/>
  <c r="AI14" i="6"/>
  <c r="AH15" i="6"/>
  <c r="AI15" i="6"/>
  <c r="AH16" i="6"/>
  <c r="AI16" i="6"/>
  <c r="AH17" i="6"/>
  <c r="AI17" i="6"/>
  <c r="AH18" i="6"/>
  <c r="AI18" i="6"/>
  <c r="AH19" i="6"/>
  <c r="AI19" i="6"/>
  <c r="AH20" i="6"/>
  <c r="AI20" i="6"/>
  <c r="AH21" i="6"/>
  <c r="AI21" i="6"/>
  <c r="AH22" i="6"/>
  <c r="AI22" i="6"/>
  <c r="AH23" i="6"/>
  <c r="AI23" i="6"/>
  <c r="AH24" i="6"/>
  <c r="AI24" i="6"/>
  <c r="AH25" i="6"/>
  <c r="AI25" i="6"/>
  <c r="AH26" i="6"/>
  <c r="AI26" i="6"/>
  <c r="AH27" i="6"/>
  <c r="AI27" i="6"/>
  <c r="AH28" i="6"/>
  <c r="AI28" i="6"/>
  <c r="AH29" i="6"/>
  <c r="AI29" i="6"/>
  <c r="AH30" i="6"/>
  <c r="AI30" i="6"/>
  <c r="AH31" i="6"/>
  <c r="AI31" i="6"/>
  <c r="AH32" i="6"/>
  <c r="AI32" i="6"/>
  <c r="AI4" i="6"/>
  <c r="AH4" i="6"/>
  <c r="AG4" i="6"/>
  <c r="AG5" i="6"/>
  <c r="AG6" i="6"/>
  <c r="AG7"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4" i="6"/>
  <c r="F35" i="6"/>
  <c r="F36" i="6"/>
  <c r="F3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4" i="6"/>
  <c r="H12" i="1" l="1"/>
  <c r="J58" i="1" l="1"/>
  <c r="J40" i="1"/>
  <c r="J11" i="1"/>
  <c r="D48" i="1" l="1"/>
  <c r="H13" i="1"/>
  <c r="J56" i="1"/>
  <c r="J38" i="1"/>
  <c r="J9" i="1"/>
  <c r="M50" i="1" l="1"/>
  <c r="M45" i="1"/>
  <c r="C31" i="2"/>
  <c r="C32" i="2" s="1"/>
  <c r="C27" i="2"/>
  <c r="C28" i="2" s="1"/>
  <c r="J37" i="1" l="1"/>
  <c r="M36" i="1" s="1"/>
  <c r="J55" i="1"/>
  <c r="J59" i="1"/>
  <c r="J41" i="1"/>
  <c r="M41" i="1" s="1"/>
  <c r="J12" i="1" l="1"/>
  <c r="J8" i="1"/>
  <c r="J30" i="1"/>
  <c r="J26" i="1"/>
  <c r="M59" i="1" l="1"/>
  <c r="M54" i="1"/>
  <c r="D20" i="1"/>
  <c r="M7" i="1" s="1"/>
  <c r="M30" i="1" l="1"/>
  <c r="M25" i="1"/>
  <c r="M21" i="1"/>
  <c r="M16" i="1"/>
  <c r="M12" i="1"/>
  <c r="E20" i="1"/>
  <c r="E48" i="1"/>
  <c r="I58" i="1" l="1"/>
  <c r="I48" i="1"/>
  <c r="I11" i="1"/>
  <c r="I29" i="1"/>
  <c r="I19" i="1"/>
  <c r="I40" i="1"/>
  <c r="K37" i="1" s="1"/>
  <c r="Q36" i="1" l="1"/>
  <c r="N36" i="1"/>
  <c r="P36" i="1"/>
  <c r="K46" i="1"/>
  <c r="K50" i="1"/>
  <c r="K41" i="1"/>
  <c r="K59" i="1"/>
  <c r="K55" i="1"/>
  <c r="K17" i="1"/>
  <c r="N16" i="1" s="1"/>
  <c r="K21" i="1"/>
  <c r="K8" i="1"/>
  <c r="K12" i="1"/>
  <c r="K26" i="1"/>
  <c r="N25" i="1" s="1"/>
  <c r="K30" i="1"/>
  <c r="Q25" i="1" l="1"/>
  <c r="Q16" i="1"/>
  <c r="N45" i="1"/>
  <c r="Q45" i="1"/>
  <c r="P12" i="1"/>
  <c r="N12" i="1"/>
  <c r="Q12" i="1"/>
  <c r="R12" i="1"/>
  <c r="Q54" i="1"/>
  <c r="N54" i="1"/>
  <c r="P7" i="1"/>
  <c r="N7" i="1"/>
  <c r="S7" i="1"/>
  <c r="Q7" i="1"/>
  <c r="Q59" i="1"/>
  <c r="AD8" i="1" s="1"/>
  <c r="N59" i="1"/>
  <c r="Q41" i="1"/>
  <c r="N41" i="1"/>
  <c r="N30" i="1"/>
  <c r="Q30" i="1"/>
  <c r="Q21" i="1"/>
  <c r="N21" i="1"/>
  <c r="N50" i="1"/>
  <c r="Q50" i="1"/>
  <c r="S30" i="1"/>
  <c r="R30" i="1"/>
  <c r="R21" i="1"/>
  <c r="S21" i="1"/>
  <c r="P45" i="1"/>
  <c r="S25" i="1"/>
  <c r="S16" i="1"/>
  <c r="P16" i="1"/>
  <c r="S12" i="1"/>
  <c r="P54" i="1"/>
  <c r="R41" i="1"/>
  <c r="P41" i="1"/>
  <c r="R59" i="1"/>
  <c r="R50" i="1"/>
  <c r="P50" i="1"/>
  <c r="P30" i="1"/>
  <c r="P21" i="1"/>
  <c r="P59" i="1"/>
  <c r="P25" i="1"/>
  <c r="AP8" i="1" l="1"/>
  <c r="AP6" i="1"/>
  <c r="AD9" i="1"/>
  <c r="AD6" i="1"/>
  <c r="AD7" i="1"/>
  <c r="AO6" i="1"/>
  <c r="AO7" i="1"/>
  <c r="AO8" i="1"/>
  <c r="AP7" i="1"/>
  <c r="AO9" i="1"/>
  <c r="AO10" i="1"/>
  <c r="AP9" i="1"/>
  <c r="AC7" i="1" l="1"/>
  <c r="AC10" i="1"/>
  <c r="AC9" i="1"/>
  <c r="AC8" i="1"/>
  <c r="AC6" i="1"/>
  <c r="AG6" i="1" l="1"/>
  <c r="AE7" i="1"/>
  <c r="AE10" i="1"/>
  <c r="AE9" i="1"/>
  <c r="AE8" i="1"/>
  <c r="AH17" i="1" l="1"/>
  <c r="AF17" i="1" s="1"/>
  <c r="AH39" i="1"/>
  <c r="AF39" i="1" s="1"/>
  <c r="AH61" i="1"/>
  <c r="AF61" i="1" s="1"/>
  <c r="AH28" i="1"/>
  <c r="AF28" i="1" s="1"/>
  <c r="AH50" i="1"/>
  <c r="AF50" i="1" s="1"/>
</calcChain>
</file>

<file path=xl/sharedStrings.xml><?xml version="1.0" encoding="utf-8"?>
<sst xmlns="http://schemas.openxmlformats.org/spreadsheetml/2006/main" count="525" uniqueCount="168">
  <si>
    <t>Succes</t>
  </si>
  <si>
    <t>Telemedicine Treatment</t>
  </si>
  <si>
    <t>Failure</t>
  </si>
  <si>
    <t>Telemedicine</t>
  </si>
  <si>
    <t>Node 1</t>
  </si>
  <si>
    <t xml:space="preserve">In the last 12 months, how often have you used, if ever, health and care services provided online without having to go to the hospital or doctor's surgery (for example, by getting a prescription or a consultation online)? </t>
  </si>
  <si>
    <t>Once</t>
  </si>
  <si>
    <t>Twice</t>
  </si>
  <si>
    <t>Three times or more</t>
  </si>
  <si>
    <t>Never</t>
  </si>
  <si>
    <t>Don't Know</t>
  </si>
  <si>
    <t>Total 'At least once'</t>
  </si>
  <si>
    <t>Likelihood of using healthcare services online.</t>
  </si>
  <si>
    <t>Italy</t>
  </si>
  <si>
    <t>Portugal</t>
  </si>
  <si>
    <t>France</t>
  </si>
  <si>
    <t>Slovenia</t>
  </si>
  <si>
    <t>Finland</t>
  </si>
  <si>
    <t>Netherlands</t>
  </si>
  <si>
    <t>Sweden</t>
  </si>
  <si>
    <t>Malta</t>
  </si>
  <si>
    <t>Spain</t>
  </si>
  <si>
    <t>Belgium</t>
  </si>
  <si>
    <t>Latvia</t>
  </si>
  <si>
    <t>Poland</t>
  </si>
  <si>
    <t>United Kingdom</t>
  </si>
  <si>
    <t>Denmark</t>
  </si>
  <si>
    <t>Estonia</t>
  </si>
  <si>
    <t>Austria</t>
  </si>
  <si>
    <t>Hungary</t>
  </si>
  <si>
    <t>Ireland</t>
  </si>
  <si>
    <t>Iceland</t>
  </si>
  <si>
    <t>Norway</t>
  </si>
  <si>
    <t>Luxembourg</t>
  </si>
  <si>
    <t>Diabetes</t>
  </si>
  <si>
    <t>Bulgaria</t>
  </si>
  <si>
    <t>Lithuania</t>
  </si>
  <si>
    <t>Romania</t>
  </si>
  <si>
    <t>Czech Republic</t>
  </si>
  <si>
    <t>Croatia</t>
  </si>
  <si>
    <t>Turkey</t>
  </si>
  <si>
    <t>Greece</t>
  </si>
  <si>
    <t>Node 3</t>
  </si>
  <si>
    <t>Source: Eurobarometer 460 (2017)</t>
  </si>
  <si>
    <t>Perform a telemedicine treatment</t>
  </si>
  <si>
    <t>Probability ???</t>
  </si>
  <si>
    <t>Outcome of patient management</t>
  </si>
  <si>
    <t>Success</t>
  </si>
  <si>
    <t>European Union (28 countries)</t>
  </si>
  <si>
    <t>Germany (until 1990 former territory of the FRG)</t>
  </si>
  <si>
    <t>Cyprus</t>
  </si>
  <si>
    <t>Slovakia</t>
  </si>
  <si>
    <t>Total population</t>
  </si>
  <si>
    <t>Net Benefits</t>
  </si>
  <si>
    <t>Min of Net Benefit</t>
  </si>
  <si>
    <t>Max of Net Benefit</t>
  </si>
  <si>
    <t>Average of Net Benefit</t>
  </si>
  <si>
    <t>Count of Net Benefit</t>
  </si>
  <si>
    <t>Euros - Patient</t>
  </si>
  <si>
    <t>Euros - Consultation</t>
  </si>
  <si>
    <t>Euros - QALY</t>
  </si>
  <si>
    <t>Days - Patient</t>
  </si>
  <si>
    <t>QALY</t>
  </si>
  <si>
    <t>% Effectiveness</t>
  </si>
  <si>
    <t>Km - Patient</t>
  </si>
  <si>
    <t>Minutes - Consultation</t>
  </si>
  <si>
    <t>% Mortality</t>
  </si>
  <si>
    <t>% Success</t>
  </si>
  <si>
    <t>Euros - Year</t>
  </si>
  <si>
    <t>Patient - Month</t>
  </si>
  <si>
    <t>Pesos - Patient</t>
  </si>
  <si>
    <t>Probability</t>
  </si>
  <si>
    <t>Baseline Costs</t>
  </si>
  <si>
    <t>Telemedicine Costs</t>
  </si>
  <si>
    <t>Base Costs</t>
  </si>
  <si>
    <t>Min of Costs EU</t>
  </si>
  <si>
    <t>Max of Costs EU</t>
  </si>
  <si>
    <t>Average of Costs EU</t>
  </si>
  <si>
    <t>Count of Costs EU</t>
  </si>
  <si>
    <t>Tele Costs</t>
  </si>
  <si>
    <t>Patient - Year</t>
  </si>
  <si>
    <t>Baseline Benefits</t>
  </si>
  <si>
    <t>Telemedicine Benefits</t>
  </si>
  <si>
    <t>Base Benefits</t>
  </si>
  <si>
    <t>Min of Quantitative Benefits</t>
  </si>
  <si>
    <t>Max of Quantitative Benefits</t>
  </si>
  <si>
    <t>Average of Quantitative Benefits</t>
  </si>
  <si>
    <t>Count of Quantitative Benefits</t>
  </si>
  <si>
    <t>Tele Benefits</t>
  </si>
  <si>
    <t>% Cost reduction</t>
  </si>
  <si>
    <t>% Hospital stay reduction</t>
  </si>
  <si>
    <t>QALY - Patient</t>
  </si>
  <si>
    <t>Km -Patient</t>
  </si>
  <si>
    <t>ICERs</t>
  </si>
  <si>
    <t>ICER</t>
  </si>
  <si>
    <t>Min of ICER</t>
  </si>
  <si>
    <t>Max of ICER</t>
  </si>
  <si>
    <t>Average of ICER</t>
  </si>
  <si>
    <t>Count of ICER</t>
  </si>
  <si>
    <t>Day of Treatment</t>
  </si>
  <si>
    <t>Telemedicine decision model for economic assessment</t>
  </si>
  <si>
    <t>Traditional Treatment</t>
  </si>
  <si>
    <t>Total QALYs gained</t>
  </si>
  <si>
    <t>Total Days of Consultation</t>
  </si>
  <si>
    <t>Traditional Medicine</t>
  </si>
  <si>
    <t>QALYS gained</t>
  </si>
  <si>
    <t>Days of consultation</t>
  </si>
  <si>
    <t>Euros</t>
  </si>
  <si>
    <t>Cost of a day in consultation</t>
  </si>
  <si>
    <t>Total Cost</t>
  </si>
  <si>
    <t>Cost of patient journey</t>
  </si>
  <si>
    <t>Mortality</t>
  </si>
  <si>
    <t>ConsultationCost</t>
  </si>
  <si>
    <t>Min / Consultation</t>
  </si>
  <si>
    <t>ICER (for total benefits only)</t>
  </si>
  <si>
    <t>Engine</t>
  </si>
  <si>
    <t>Moratality (mortality rate applied on failure outcome)</t>
  </si>
  <si>
    <t>Distance saved  (telemedicine only)</t>
  </si>
  <si>
    <t>Telemedicine preference</t>
  </si>
  <si>
    <t>Assessment with current use of telemedicine (18%)</t>
  </si>
  <si>
    <t>Assessment with 5 % increase in the use of telemedicine (23%)</t>
  </si>
  <si>
    <t>Assessment with 10 % increase in the use of telemedicine (28%)</t>
  </si>
  <si>
    <t>Assessment with 20 % increase in the use of telemedicine (38%)</t>
  </si>
  <si>
    <t>Assessment with 30 % increase in the use of telemedicine (48%)</t>
  </si>
  <si>
    <t>Mortality (headcounts)</t>
  </si>
  <si>
    <t>GEO</t>
  </si>
  <si>
    <t>European Union (current composition)</t>
  </si>
  <si>
    <t>Population suffering from one of the diseases</t>
  </si>
  <si>
    <t>Asthma</t>
  </si>
  <si>
    <t>Chronic lower respiratory diseases (excluding asthma)</t>
  </si>
  <si>
    <t>High blood pressure</t>
  </si>
  <si>
    <t>Coronary heart disease or angina pectoris + Heart attack or chronic consequences of heart attack</t>
  </si>
  <si>
    <t>Population</t>
  </si>
  <si>
    <t>European Union (28)</t>
  </si>
  <si>
    <t>Population Projections: Baseline Scenario</t>
  </si>
  <si>
    <t>Population (1st of January)</t>
  </si>
  <si>
    <t>Total People Suffering from CD (exluding blood presure)</t>
  </si>
  <si>
    <t>Generalist and specialist medical practitioners in hospital</t>
  </si>
  <si>
    <t>Consultation of a medical doctor (in private practice or as outpatient) per inhabitant [hlth_hc_phys] - Last update: 01-03-2018
Generalist and specialist medical practitioners</t>
  </si>
  <si>
    <t>QALYS gained/individual</t>
  </si>
  <si>
    <t>Days of consultation/individual</t>
  </si>
  <si>
    <t>Mortality%</t>
  </si>
  <si>
    <t>Distance (Km)/individual</t>
  </si>
  <si>
    <t>Forms of treatment</t>
  </si>
  <si>
    <t xml:space="preserve">Perform telemonitoring </t>
  </si>
  <si>
    <t>Perform physical monitoring</t>
  </si>
  <si>
    <t>Perform a physical treatment after teleconsultation</t>
  </si>
  <si>
    <t>Perform physical treatment</t>
  </si>
  <si>
    <t>Hypothetic parameter</t>
  </si>
  <si>
    <t xml:space="preserve">The present decision model comprises 4 nodes and 3 decision steps. It draws probabilities and population counts from established studies and official statistics; it also draws costs and benefit parameters collected throughout the literature review. This model is a simple representation of 3 decision steps process that helps evaluate the cost and effectiveness of an intervention in favour of increasing the adoption of telemedicine throughout EU national health systems.
- Node 1: Patient management. Decision to consult through telemedicine or through traditional medicine.
- Node 2: Type of treatment. Decision to follow up the patient or to treat him using telemedicine or tradicional medicine.
- Node 3: Outcome. Probability of failure or success.
</t>
  </si>
  <si>
    <t>One e-consultation</t>
  </si>
  <si>
    <t>Two e-consultations</t>
  </si>
  <si>
    <t>Countries used to compute average visits todoctor</t>
  </si>
  <si>
    <t>Average visits EU</t>
  </si>
  <si>
    <t>Traditional medical  journey</t>
  </si>
  <si>
    <t>One consultation</t>
  </si>
  <si>
    <t>Two consultations</t>
  </si>
  <si>
    <t>Distance saved (Km)</t>
  </si>
  <si>
    <t>Liechtenstein</t>
  </si>
  <si>
    <t>EEA</t>
  </si>
  <si>
    <t>Total4CD</t>
  </si>
  <si>
    <t>a patient</t>
  </si>
  <si>
    <t>Treatment of</t>
  </si>
  <si>
    <t xml:space="preserve">Even Group Assessment with 50% use of telemedicine </t>
  </si>
  <si>
    <t>Total scenario costs/benefits</t>
  </si>
  <si>
    <t>Evolution with respect to baseline</t>
  </si>
  <si>
    <t>3+ e-consultations</t>
  </si>
  <si>
    <t>3+ consultations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</si>
</sst>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quot;#,##0;\-&quot;£&quot;#,##0"/>
    <numFmt numFmtId="165" formatCode="&quot;£&quot;#,##0;&quot;£&quot;\-#,##0"/>
    <numFmt numFmtId="166" formatCode="0.0"/>
    <numFmt numFmtId="167" formatCode="0.0%"/>
    <numFmt numFmtId="168" formatCode="#,##0.00\ &quot;€&quot;"/>
    <numFmt numFmtId="169" formatCode="#,##0.0"/>
    <numFmt numFmtId="170" formatCode="#,##0.0000\ &quot;€&quot;"/>
    <numFmt numFmtId="171" formatCode="0.0000"/>
    <numFmt numFmtId="172" formatCode="0.0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sz val="10"/>
      <name val="Arial"/>
      <family val="2"/>
    </font>
    <font>
      <b/>
      <sz val="10"/>
      <color indexed="62"/>
      <name val="Arial"/>
      <family val="2"/>
    </font>
    <font>
      <b/>
      <sz val="10"/>
      <color indexed="8"/>
      <name val="Arial"/>
      <family val="2"/>
    </font>
    <font>
      <b/>
      <sz val="10"/>
      <name val="Arial"/>
      <family val="2"/>
    </font>
    <font>
      <b/>
      <sz val="10"/>
      <color rgb="FFFF0000"/>
      <name val="Arial"/>
      <family val="2"/>
    </font>
    <font>
      <sz val="10"/>
      <color indexed="62"/>
      <name val="Arial"/>
      <family val="2"/>
    </font>
    <font>
      <sz val="10"/>
      <color indexed="32"/>
      <name val="Arial"/>
      <family val="2"/>
    </font>
    <font>
      <b/>
      <sz val="10"/>
      <color indexed="10"/>
      <name val="Arial"/>
      <family val="2"/>
    </font>
    <font>
      <b/>
      <sz val="10"/>
      <color indexed="48"/>
      <name val="Arial"/>
      <family val="2"/>
    </font>
    <font>
      <i/>
      <sz val="10"/>
      <name val="Arial"/>
      <family val="2"/>
    </font>
    <font>
      <i/>
      <sz val="8"/>
      <name val="Arial"/>
      <family val="2"/>
    </font>
    <font>
      <sz val="9"/>
      <color theme="0"/>
      <name val="Arial"/>
      <family val="2"/>
    </font>
    <font>
      <i/>
      <sz val="11"/>
      <color theme="1"/>
      <name val="Calibri"/>
      <family val="2"/>
      <scheme val="minor"/>
    </font>
    <font>
      <i/>
      <sz val="10"/>
      <color theme="1"/>
      <name val="Arial"/>
      <family val="2"/>
    </font>
    <font>
      <b/>
      <i/>
      <u/>
      <sz val="11"/>
      <color theme="1"/>
      <name val="Calibri"/>
      <family val="2"/>
      <scheme val="minor"/>
    </font>
    <font>
      <sz val="9"/>
      <color theme="1"/>
      <name val="Arial"/>
      <family val="2"/>
    </font>
    <font>
      <i/>
      <sz val="10"/>
      <color rgb="FF00B0F0"/>
      <name val="Arial"/>
      <family val="2"/>
    </font>
    <font>
      <b/>
      <i/>
      <sz val="10"/>
      <color rgb="FFC00000"/>
      <name val="Arial"/>
      <family val="2"/>
    </font>
    <font>
      <u/>
      <sz val="16"/>
      <color theme="1"/>
      <name val="Calibri"/>
      <family val="2"/>
      <scheme val="minor"/>
    </font>
    <font>
      <i/>
      <sz val="11"/>
      <color rgb="FF00B0F0"/>
      <name val="Calibri"/>
      <family val="2"/>
      <scheme val="minor"/>
    </font>
    <font>
      <i/>
      <sz val="11"/>
      <color theme="9" tint="-0.249977111117893"/>
      <name val="Calibri"/>
      <family val="2"/>
      <scheme val="minor"/>
    </font>
    <font>
      <i/>
      <sz val="10"/>
      <color theme="9" tint="-0.249977111117893"/>
      <name val="Arial"/>
      <family val="2"/>
    </font>
    <font>
      <i/>
      <sz val="10"/>
      <color rgb="FF7030A0"/>
      <name val="Arial"/>
      <family val="2"/>
    </font>
    <font>
      <i/>
      <sz val="11"/>
      <color rgb="FF7030A0"/>
      <name val="Calibri"/>
      <family val="2"/>
      <scheme val="minor"/>
    </font>
    <font>
      <sz val="11"/>
      <color theme="0"/>
      <name val="Calibri"/>
      <family val="2"/>
      <scheme val="minor"/>
    </font>
    <font>
      <i/>
      <sz val="10"/>
      <color theme="7" tint="-0.249977111117893"/>
      <name val="Arial"/>
      <family val="2"/>
    </font>
    <font>
      <i/>
      <sz val="11"/>
      <color rgb="FF9D1B7E"/>
      <name val="Calibri"/>
      <family val="2"/>
      <scheme val="minor"/>
    </font>
    <font>
      <b/>
      <i/>
      <u/>
      <sz val="12"/>
      <name val="Arial"/>
      <family val="2"/>
    </font>
    <font>
      <b/>
      <sz val="9"/>
      <color theme="1"/>
      <name val="Calibri"/>
      <family val="2"/>
      <scheme val="minor"/>
    </font>
    <font>
      <sz val="9"/>
      <color theme="1"/>
      <name val="Calibri"/>
      <family val="2"/>
      <scheme val="minor"/>
    </font>
    <font>
      <b/>
      <sz val="9"/>
      <name val="Calibri"/>
      <family val="2"/>
      <scheme val="minor"/>
    </font>
    <font>
      <b/>
      <u/>
      <sz val="11"/>
      <color theme="1"/>
      <name val="Calibri"/>
      <family val="2"/>
      <scheme val="minor"/>
    </font>
    <font>
      <b/>
      <sz val="9"/>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A3202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s>
  <cellStyleXfs count="3">
    <xf numFmtId="0" fontId="0" fillId="0" borderId="0"/>
    <xf numFmtId="9" fontId="1" fillId="0" borderId="0" applyFont="0" applyFill="0" applyBorder="0" applyAlignment="0" applyProtection="0"/>
    <xf numFmtId="0" fontId="3" fillId="0" borderId="0">
      <alignment vertical="center"/>
    </xf>
  </cellStyleXfs>
  <cellXfs count="160">
    <xf numFmtId="0" fontId="0" fillId="0" borderId="0" xfId="0"/>
    <xf numFmtId="0" fontId="0" fillId="0" borderId="0" xfId="0" applyAlignment="1">
      <alignment horizontal="center" vertical="center"/>
    </xf>
    <xf numFmtId="0" fontId="14" fillId="0" borderId="0" xfId="0" applyFont="1"/>
    <xf numFmtId="0" fontId="15" fillId="3" borderId="10" xfId="0" applyFont="1" applyFill="1" applyBorder="1" applyAlignment="1">
      <alignment horizontal="center" vertical="top" wrapText="1"/>
    </xf>
    <xf numFmtId="0" fontId="0" fillId="0" borderId="9" xfId="0" applyBorder="1" applyAlignment="1">
      <alignment horizontal="left" vertical="center"/>
    </xf>
    <xf numFmtId="9" fontId="0" fillId="0" borderId="9" xfId="1" applyFont="1" applyBorder="1" applyAlignment="1">
      <alignment horizontal="center" vertical="center"/>
    </xf>
    <xf numFmtId="0" fontId="0" fillId="0" borderId="9" xfId="0" applyBorder="1"/>
    <xf numFmtId="167" fontId="0" fillId="0" borderId="9" xfId="1" applyNumberFormat="1" applyFont="1" applyBorder="1"/>
    <xf numFmtId="0" fontId="2" fillId="4" borderId="9" xfId="0" applyFont="1" applyFill="1" applyBorder="1"/>
    <xf numFmtId="0" fontId="16" fillId="4" borderId="9" xfId="0" applyFont="1" applyFill="1" applyBorder="1"/>
    <xf numFmtId="0" fontId="18" fillId="0" borderId="0" xfId="0" applyFont="1" applyAlignment="1">
      <alignment horizontal="center" vertical="top"/>
    </xf>
    <xf numFmtId="0" fontId="19" fillId="0" borderId="9" xfId="0" applyFont="1" applyBorder="1" applyAlignment="1">
      <alignment horizontal="center" vertical="top"/>
    </xf>
    <xf numFmtId="166" fontId="19" fillId="0" borderId="9" xfId="0" applyNumberFormat="1" applyFont="1" applyBorder="1" applyAlignment="1">
      <alignment horizontal="center" vertical="top" wrapText="1"/>
    </xf>
    <xf numFmtId="0" fontId="4" fillId="2" borderId="2" xfId="2" applyFont="1" applyFill="1" applyBorder="1" applyAlignment="1">
      <alignment vertical="center"/>
    </xf>
    <xf numFmtId="166" fontId="19" fillId="0" borderId="9" xfId="0" applyNumberFormat="1" applyFont="1" applyBorder="1" applyAlignment="1">
      <alignment horizontal="center" vertical="top"/>
    </xf>
    <xf numFmtId="0" fontId="19" fillId="0" borderId="9" xfId="0" applyFont="1" applyBorder="1" applyAlignment="1">
      <alignment horizontal="center" vertical="top" wrapText="1"/>
    </xf>
    <xf numFmtId="0" fontId="0" fillId="2" borderId="0" xfId="0" applyFill="1" applyBorder="1" applyAlignment="1">
      <alignment vertical="center"/>
    </xf>
    <xf numFmtId="0" fontId="4" fillId="2" borderId="0" xfId="2" applyFont="1" applyFill="1" applyBorder="1" applyAlignment="1">
      <alignment vertical="center"/>
    </xf>
    <xf numFmtId="0" fontId="4" fillId="2" borderId="0" xfId="2" applyFont="1" applyFill="1" applyBorder="1" applyAlignment="1">
      <alignment horizontal="center" vertical="center"/>
    </xf>
    <xf numFmtId="0" fontId="5" fillId="2" borderId="0" xfId="2" applyFont="1" applyFill="1" applyBorder="1" applyAlignment="1">
      <alignment vertical="center"/>
    </xf>
    <xf numFmtId="0" fontId="6" fillId="2" borderId="0" xfId="2" applyFont="1" applyFill="1" applyBorder="1" applyAlignment="1">
      <alignment vertical="center"/>
    </xf>
    <xf numFmtId="164" fontId="5" fillId="2" borderId="0" xfId="2" applyNumberFormat="1" applyFont="1" applyFill="1" applyBorder="1" applyAlignment="1">
      <alignment horizontal="left" vertical="center"/>
    </xf>
    <xf numFmtId="0" fontId="7" fillId="2" borderId="0" xfId="2" applyFont="1" applyFill="1" applyBorder="1" applyAlignment="1">
      <alignment vertical="center"/>
    </xf>
    <xf numFmtId="0" fontId="8" fillId="2" borderId="0" xfId="2" applyFont="1" applyFill="1" applyBorder="1" applyAlignment="1">
      <alignment horizontal="left" vertical="center"/>
    </xf>
    <xf numFmtId="0" fontId="9" fillId="2" borderId="0" xfId="2" applyFont="1" applyFill="1" applyBorder="1" applyAlignment="1">
      <alignment vertical="center"/>
    </xf>
    <xf numFmtId="0" fontId="10" fillId="2" borderId="0" xfId="2" applyNumberFormat="1" applyFont="1" applyFill="1" applyBorder="1" applyAlignment="1" applyProtection="1">
      <alignment horizontal="left" vertical="center"/>
    </xf>
    <xf numFmtId="10" fontId="4" fillId="2" borderId="0" xfId="1" applyNumberFormat="1" applyFont="1" applyFill="1" applyBorder="1" applyAlignment="1">
      <alignment horizontal="center" vertical="center"/>
    </xf>
    <xf numFmtId="9" fontId="13" fillId="2" borderId="3" xfId="1" applyFont="1" applyFill="1" applyBorder="1" applyAlignment="1">
      <alignment horizontal="left" vertical="center"/>
    </xf>
    <xf numFmtId="166" fontId="21" fillId="2" borderId="2" xfId="2" applyNumberFormat="1" applyFont="1" applyFill="1" applyBorder="1" applyAlignment="1">
      <alignment horizontal="right" vertical="center"/>
    </xf>
    <xf numFmtId="0" fontId="12" fillId="2" borderId="0" xfId="2" applyFont="1" applyFill="1" applyBorder="1" applyAlignment="1">
      <alignment horizontal="left" vertical="center"/>
    </xf>
    <xf numFmtId="0" fontId="0" fillId="2" borderId="1" xfId="0" applyFill="1" applyBorder="1" applyAlignment="1">
      <alignment vertical="center"/>
    </xf>
    <xf numFmtId="0" fontId="11" fillId="2" borderId="0" xfId="2" applyNumberFormat="1" applyFont="1" applyFill="1" applyBorder="1" applyAlignment="1">
      <alignment horizontal="left" vertical="center"/>
    </xf>
    <xf numFmtId="0" fontId="11" fillId="2" borderId="8" xfId="2" applyNumberFormat="1" applyFont="1" applyFill="1" applyBorder="1" applyAlignment="1" applyProtection="1">
      <alignment horizontal="left" vertical="center"/>
    </xf>
    <xf numFmtId="0" fontId="21" fillId="2" borderId="0" xfId="2" applyFont="1" applyFill="1" applyBorder="1" applyAlignment="1">
      <alignment horizontal="right" vertical="center"/>
    </xf>
    <xf numFmtId="9" fontId="13" fillId="2" borderId="5" xfId="1" applyFont="1" applyFill="1" applyBorder="1" applyAlignment="1">
      <alignment horizontal="left" vertical="center"/>
    </xf>
    <xf numFmtId="166" fontId="21" fillId="2" borderId="6" xfId="2" applyNumberFormat="1" applyFont="1" applyFill="1" applyBorder="1" applyAlignment="1">
      <alignment horizontal="right" vertical="center"/>
    </xf>
    <xf numFmtId="166" fontId="12" fillId="2" borderId="0" xfId="2" applyNumberFormat="1" applyFont="1" applyFill="1" applyBorder="1" applyAlignment="1">
      <alignment horizontal="left" vertical="center"/>
    </xf>
    <xf numFmtId="0" fontId="7" fillId="2" borderId="6" xfId="2" applyFont="1" applyFill="1" applyBorder="1" applyAlignment="1">
      <alignment vertical="center"/>
    </xf>
    <xf numFmtId="0" fontId="4" fillId="2" borderId="7" xfId="2" applyFont="1" applyFill="1" applyBorder="1" applyAlignment="1">
      <alignment vertical="center"/>
    </xf>
    <xf numFmtId="0" fontId="0" fillId="2" borderId="7" xfId="0" applyFill="1" applyBorder="1" applyAlignment="1">
      <alignment vertical="center"/>
    </xf>
    <xf numFmtId="9" fontId="13" fillId="2" borderId="0" xfId="1" applyFont="1" applyFill="1" applyBorder="1" applyAlignment="1">
      <alignment horizontal="left" vertical="center"/>
    </xf>
    <xf numFmtId="166" fontId="21" fillId="2" borderId="4" xfId="2" applyNumberFormat="1" applyFont="1" applyFill="1" applyBorder="1" applyAlignment="1">
      <alignment horizontal="right" vertical="center"/>
    </xf>
    <xf numFmtId="166" fontId="8" fillId="2" borderId="6" xfId="2" applyNumberFormat="1" applyFont="1" applyFill="1" applyBorder="1" applyAlignment="1">
      <alignment horizontal="left" vertical="center"/>
    </xf>
    <xf numFmtId="0" fontId="4" fillId="2" borderId="1" xfId="2" applyFont="1" applyFill="1" applyBorder="1" applyAlignment="1">
      <alignment vertical="center"/>
    </xf>
    <xf numFmtId="166" fontId="21" fillId="2" borderId="0" xfId="2" applyNumberFormat="1" applyFont="1" applyFill="1" applyBorder="1" applyAlignment="1">
      <alignment horizontal="right" vertical="center"/>
    </xf>
    <xf numFmtId="0" fontId="11" fillId="2" borderId="0" xfId="2" applyNumberFormat="1" applyFont="1" applyFill="1" applyBorder="1" applyAlignment="1" applyProtection="1">
      <alignment horizontal="left" vertical="center"/>
    </xf>
    <xf numFmtId="0" fontId="21" fillId="2" borderId="0" xfId="2" applyNumberFormat="1" applyFont="1" applyFill="1" applyBorder="1" applyAlignment="1" applyProtection="1">
      <alignment horizontal="right" vertical="center"/>
    </xf>
    <xf numFmtId="0" fontId="7" fillId="2" borderId="2" xfId="2" applyFont="1" applyFill="1" applyBorder="1" applyAlignment="1">
      <alignment vertical="center"/>
    </xf>
    <xf numFmtId="0" fontId="12" fillId="2" borderId="4" xfId="2" applyFont="1" applyFill="1" applyBorder="1" applyAlignment="1">
      <alignment horizontal="left" vertical="center"/>
    </xf>
    <xf numFmtId="166" fontId="12" fillId="2" borderId="2" xfId="2" applyNumberFormat="1" applyFont="1" applyFill="1" applyBorder="1" applyAlignment="1">
      <alignment horizontal="left" vertical="center"/>
    </xf>
    <xf numFmtId="0" fontId="21" fillId="2" borderId="2" xfId="2" applyFont="1" applyFill="1" applyBorder="1" applyAlignment="1">
      <alignment vertical="center"/>
    </xf>
    <xf numFmtId="165" fontId="11" fillId="2" borderId="0" xfId="2" applyNumberFormat="1" applyFont="1" applyFill="1" applyBorder="1" applyAlignment="1">
      <alignment horizontal="left" vertical="center"/>
    </xf>
    <xf numFmtId="0" fontId="4" fillId="2" borderId="0" xfId="2" applyFont="1" applyFill="1" applyBorder="1" applyAlignment="1">
      <alignment horizontal="right" vertical="center"/>
    </xf>
    <xf numFmtId="166" fontId="8" fillId="2" borderId="0" xfId="2" applyNumberFormat="1" applyFont="1" applyFill="1" applyBorder="1" applyAlignment="1">
      <alignment horizontal="left" vertical="center"/>
    </xf>
    <xf numFmtId="166" fontId="11" fillId="2" borderId="0" xfId="2" applyNumberFormat="1" applyFont="1" applyFill="1" applyBorder="1" applyAlignment="1">
      <alignment horizontal="left" vertical="center"/>
    </xf>
    <xf numFmtId="0" fontId="21" fillId="2" borderId="7" xfId="2" applyFont="1" applyFill="1" applyBorder="1" applyAlignment="1">
      <alignment vertical="center"/>
    </xf>
    <xf numFmtId="0" fontId="4" fillId="2" borderId="6" xfId="2" applyFont="1"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17" fillId="2" borderId="6" xfId="2" applyFont="1" applyFill="1" applyBorder="1" applyAlignment="1">
      <alignment horizontal="right" vertical="center"/>
    </xf>
    <xf numFmtId="0" fontId="21" fillId="2" borderId="0" xfId="2" applyFont="1" applyFill="1" applyBorder="1" applyAlignment="1">
      <alignment vertical="center"/>
    </xf>
    <xf numFmtId="0" fontId="8" fillId="2" borderId="8" xfId="2" applyFont="1" applyFill="1" applyBorder="1" applyAlignment="1">
      <alignment horizontal="left" vertical="center"/>
    </xf>
    <xf numFmtId="0" fontId="21" fillId="2" borderId="6" xfId="2" applyNumberFormat="1" applyFont="1" applyFill="1" applyBorder="1" applyAlignment="1">
      <alignment horizontal="right"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13" fillId="2" borderId="4" xfId="2" applyFont="1" applyFill="1" applyBorder="1" applyAlignment="1">
      <alignment vertical="center"/>
    </xf>
    <xf numFmtId="166" fontId="23" fillId="2" borderId="0" xfId="0" applyNumberFormat="1" applyFont="1" applyFill="1" applyBorder="1" applyAlignment="1">
      <alignment vertical="center"/>
    </xf>
    <xf numFmtId="168" fontId="0" fillId="2" borderId="0" xfId="0" applyNumberFormat="1" applyFill="1" applyBorder="1" applyAlignment="1">
      <alignment horizontal="center" vertical="center"/>
    </xf>
    <xf numFmtId="168" fontId="4" fillId="2" borderId="0" xfId="2" applyNumberFormat="1" applyFont="1" applyFill="1" applyBorder="1" applyAlignment="1">
      <alignment horizontal="center" vertical="center"/>
    </xf>
    <xf numFmtId="9" fontId="19" fillId="0" borderId="9" xfId="1" applyFont="1" applyBorder="1" applyAlignment="1">
      <alignment horizontal="center" vertical="top" wrapText="1"/>
    </xf>
    <xf numFmtId="2" fontId="24" fillId="2" borderId="1" xfId="0" applyNumberFormat="1" applyFont="1" applyFill="1" applyBorder="1" applyAlignment="1">
      <alignment vertical="center"/>
    </xf>
    <xf numFmtId="2" fontId="25" fillId="2" borderId="1" xfId="2" applyNumberFormat="1" applyFont="1" applyFill="1" applyBorder="1" applyAlignment="1">
      <alignment vertical="center"/>
    </xf>
    <xf numFmtId="0" fontId="15" fillId="3" borderId="10" xfId="0" applyFont="1" applyFill="1" applyBorder="1" applyAlignment="1">
      <alignment horizontal="center" vertical="center" wrapText="1"/>
    </xf>
    <xf numFmtId="0" fontId="26" fillId="2" borderId="0" xfId="2" applyFont="1" applyFill="1" applyBorder="1" applyAlignment="1">
      <alignment vertical="center"/>
    </xf>
    <xf numFmtId="0" fontId="27" fillId="2" borderId="0" xfId="0" applyFont="1" applyFill="1" applyBorder="1" applyAlignment="1">
      <alignment vertical="center"/>
    </xf>
    <xf numFmtId="4" fontId="0" fillId="2" borderId="0" xfId="0" applyNumberFormat="1" applyFill="1" applyBorder="1" applyAlignment="1">
      <alignment vertical="center"/>
    </xf>
    <xf numFmtId="168" fontId="29" fillId="2" borderId="0" xfId="2" applyNumberFormat="1" applyFont="1" applyFill="1" applyBorder="1" applyAlignment="1">
      <alignment horizontal="center" vertical="center"/>
    </xf>
    <xf numFmtId="9" fontId="30" fillId="2" borderId="1" xfId="1" applyFont="1" applyFill="1" applyBorder="1" applyAlignment="1">
      <alignment vertical="center"/>
    </xf>
    <xf numFmtId="2" fontId="24" fillId="2" borderId="0" xfId="0" applyNumberFormat="1" applyFont="1" applyFill="1" applyBorder="1" applyAlignment="1">
      <alignment horizontal="left" vertical="center"/>
    </xf>
    <xf numFmtId="168" fontId="29" fillId="2" borderId="0" xfId="2" applyNumberFormat="1" applyFont="1" applyFill="1" applyBorder="1" applyAlignment="1">
      <alignment horizontal="left" vertical="center"/>
    </xf>
    <xf numFmtId="9" fontId="30" fillId="2" borderId="0" xfId="1" applyFont="1" applyFill="1" applyBorder="1" applyAlignment="1">
      <alignment horizontal="left" vertical="center"/>
    </xf>
    <xf numFmtId="166" fontId="20" fillId="2" borderId="0" xfId="2" applyNumberFormat="1" applyFont="1" applyFill="1" applyBorder="1" applyAlignment="1">
      <alignment vertical="center"/>
    </xf>
    <xf numFmtId="168" fontId="4" fillId="2" borderId="7" xfId="2" applyNumberFormat="1" applyFont="1" applyFill="1" applyBorder="1" applyAlignment="1">
      <alignment horizontal="center" vertical="center"/>
    </xf>
    <xf numFmtId="0" fontId="4" fillId="2" borderId="7" xfId="2" applyFont="1" applyFill="1" applyBorder="1" applyAlignment="1">
      <alignment horizontal="center" vertical="center"/>
    </xf>
    <xf numFmtId="0" fontId="0" fillId="2" borderId="9" xfId="0" applyFill="1" applyBorder="1" applyAlignment="1">
      <alignment vertical="center"/>
    </xf>
    <xf numFmtId="168" fontId="0" fillId="2" borderId="9" xfId="0" applyNumberFormat="1" applyFill="1" applyBorder="1" applyAlignment="1">
      <alignment vertical="center"/>
    </xf>
    <xf numFmtId="0" fontId="28" fillId="5" borderId="9" xfId="0" applyFont="1" applyFill="1" applyBorder="1" applyAlignment="1">
      <alignment vertical="center"/>
    </xf>
    <xf numFmtId="0" fontId="0" fillId="4" borderId="9" xfId="0" applyFill="1" applyBorder="1" applyAlignment="1">
      <alignment vertical="center"/>
    </xf>
    <xf numFmtId="0" fontId="0" fillId="2" borderId="9" xfId="0" applyFill="1" applyBorder="1" applyAlignment="1">
      <alignment horizontal="center" vertical="center"/>
    </xf>
    <xf numFmtId="0" fontId="15" fillId="3" borderId="11" xfId="0" applyFont="1" applyFill="1" applyBorder="1" applyAlignment="1">
      <alignment vertical="center"/>
    </xf>
    <xf numFmtId="169" fontId="0" fillId="2" borderId="9" xfId="0" applyNumberFormat="1" applyFill="1" applyBorder="1" applyAlignment="1">
      <alignment vertical="center"/>
    </xf>
    <xf numFmtId="0" fontId="31" fillId="2" borderId="11" xfId="0" applyFont="1" applyFill="1" applyBorder="1" applyAlignment="1">
      <alignment vertical="center"/>
    </xf>
    <xf numFmtId="0" fontId="31" fillId="2" borderId="12" xfId="0" applyFont="1" applyFill="1" applyBorder="1" applyAlignment="1">
      <alignment vertical="center" wrapText="1"/>
    </xf>
    <xf numFmtId="0" fontId="31" fillId="2" borderId="13" xfId="0" applyFont="1" applyFill="1" applyBorder="1" applyAlignment="1">
      <alignment vertical="center" wrapText="1"/>
    </xf>
    <xf numFmtId="0" fontId="33" fillId="0" borderId="0" xfId="0" applyFont="1"/>
    <xf numFmtId="0" fontId="32" fillId="6" borderId="9" xfId="0" applyFont="1" applyFill="1" applyBorder="1"/>
    <xf numFmtId="0" fontId="32" fillId="6" borderId="9" xfId="0" applyFont="1" applyFill="1" applyBorder="1" applyAlignment="1">
      <alignment wrapText="1"/>
    </xf>
    <xf numFmtId="0" fontId="32" fillId="0" borderId="0" xfId="0" applyFont="1" applyBorder="1" applyAlignment="1">
      <alignment wrapText="1"/>
    </xf>
    <xf numFmtId="0" fontId="33" fillId="7" borderId="9" xfId="0" applyFont="1" applyFill="1" applyBorder="1"/>
    <xf numFmtId="0" fontId="33" fillId="6" borderId="9" xfId="0" applyFont="1" applyFill="1" applyBorder="1"/>
    <xf numFmtId="0" fontId="32" fillId="6" borderId="14" xfId="0" applyFont="1" applyFill="1" applyBorder="1"/>
    <xf numFmtId="0" fontId="33" fillId="6" borderId="14" xfId="0" applyFont="1" applyFill="1" applyBorder="1"/>
    <xf numFmtId="0" fontId="32" fillId="2" borderId="0" xfId="0" applyFont="1" applyFill="1" applyBorder="1"/>
    <xf numFmtId="0" fontId="33" fillId="2" borderId="0" xfId="0" applyFont="1" applyFill="1" applyBorder="1"/>
    <xf numFmtId="0" fontId="32" fillId="2" borderId="9" xfId="0" applyFont="1" applyFill="1" applyBorder="1"/>
    <xf numFmtId="0" fontId="33" fillId="2" borderId="9" xfId="0" applyFont="1" applyFill="1" applyBorder="1"/>
    <xf numFmtId="0" fontId="32" fillId="0" borderId="9" xfId="0" applyFont="1" applyFill="1" applyBorder="1" applyAlignment="1">
      <alignment wrapText="1"/>
    </xf>
    <xf numFmtId="0" fontId="33" fillId="0" borderId="9" xfId="0" applyFont="1" applyFill="1" applyBorder="1"/>
    <xf numFmtId="0" fontId="33" fillId="0" borderId="14" xfId="0" applyFont="1" applyFill="1" applyBorder="1"/>
    <xf numFmtId="0" fontId="33" fillId="0" borderId="0" xfId="0" applyFont="1" applyFill="1" applyBorder="1"/>
    <xf numFmtId="0" fontId="33" fillId="0" borderId="0" xfId="0" applyFont="1" applyFill="1"/>
    <xf numFmtId="0" fontId="32" fillId="0" borderId="9" xfId="0" applyFont="1" applyFill="1" applyBorder="1"/>
    <xf numFmtId="0" fontId="32" fillId="0" borderId="0" xfId="0" applyFont="1" applyFill="1" applyBorder="1"/>
    <xf numFmtId="0" fontId="32" fillId="0" borderId="0" xfId="0" applyFont="1"/>
    <xf numFmtId="0" fontId="2" fillId="0" borderId="9" xfId="0" applyFont="1" applyBorder="1"/>
    <xf numFmtId="2" fontId="0" fillId="2" borderId="9" xfId="0" applyNumberFormat="1" applyFill="1" applyBorder="1" applyAlignment="1">
      <alignment vertical="center"/>
    </xf>
    <xf numFmtId="167" fontId="0" fillId="2" borderId="9" xfId="1" applyNumberFormat="1" applyFont="1" applyFill="1" applyBorder="1" applyAlignment="1">
      <alignment vertical="center"/>
    </xf>
    <xf numFmtId="0" fontId="26" fillId="2" borderId="1" xfId="2" applyFont="1" applyFill="1" applyBorder="1" applyAlignment="1">
      <alignment vertical="center"/>
    </xf>
    <xf numFmtId="0" fontId="7" fillId="2" borderId="1" xfId="2" applyFont="1" applyFill="1" applyBorder="1" applyAlignment="1">
      <alignment horizontal="left" vertical="center"/>
    </xf>
    <xf numFmtId="168" fontId="29" fillId="2" borderId="1" xfId="2" applyNumberFormat="1" applyFont="1" applyFill="1" applyBorder="1" applyAlignment="1">
      <alignment horizontal="center" vertical="center"/>
    </xf>
    <xf numFmtId="0" fontId="4" fillId="2" borderId="8" xfId="2" applyFont="1" applyFill="1" applyBorder="1" applyAlignment="1">
      <alignment horizontal="right" vertical="center"/>
    </xf>
    <xf numFmtId="10" fontId="4" fillId="2" borderId="18" xfId="1" applyNumberFormat="1" applyFont="1" applyFill="1" applyBorder="1" applyAlignment="1">
      <alignment horizontal="center" vertical="center"/>
    </xf>
    <xf numFmtId="168" fontId="4" fillId="2" borderId="19" xfId="2" applyNumberFormat="1" applyFont="1" applyFill="1" applyBorder="1" applyAlignment="1">
      <alignment horizontal="center" vertical="center"/>
    </xf>
    <xf numFmtId="0" fontId="0" fillId="2" borderId="19" xfId="0" applyFill="1" applyBorder="1" applyAlignment="1">
      <alignment vertical="center"/>
    </xf>
    <xf numFmtId="4" fontId="0" fillId="2" borderId="19" xfId="0" applyNumberFormat="1" applyFill="1" applyBorder="1" applyAlignment="1">
      <alignment vertical="center"/>
    </xf>
    <xf numFmtId="168" fontId="0" fillId="2" borderId="19" xfId="0" applyNumberFormat="1" applyFill="1" applyBorder="1" applyAlignment="1">
      <alignment horizontal="center" vertical="center"/>
    </xf>
    <xf numFmtId="0" fontId="18" fillId="0" borderId="0" xfId="0" applyFont="1"/>
    <xf numFmtId="0" fontId="35" fillId="0" borderId="0" xfId="0" applyFont="1"/>
    <xf numFmtId="2" fontId="0" fillId="0" borderId="0" xfId="0" applyNumberFormat="1"/>
    <xf numFmtId="166" fontId="26" fillId="2" borderId="0" xfId="2" applyNumberFormat="1" applyFont="1" applyFill="1" applyBorder="1" applyAlignment="1">
      <alignment vertical="center"/>
    </xf>
    <xf numFmtId="9" fontId="13" fillId="2" borderId="7" xfId="1" applyFont="1" applyFill="1" applyBorder="1" applyAlignment="1">
      <alignment horizontal="left" vertical="center"/>
    </xf>
    <xf numFmtId="0" fontId="7" fillId="2" borderId="7" xfId="2" applyFont="1" applyFill="1" applyBorder="1" applyAlignment="1">
      <alignment vertical="center"/>
    </xf>
    <xf numFmtId="0" fontId="2" fillId="2" borderId="0" xfId="0" applyFont="1" applyFill="1" applyBorder="1" applyAlignment="1">
      <alignment vertical="center"/>
    </xf>
    <xf numFmtId="0" fontId="2" fillId="2" borderId="2" xfId="0" applyFont="1" applyFill="1" applyBorder="1" applyAlignment="1">
      <alignment vertical="center"/>
    </xf>
    <xf numFmtId="0" fontId="12" fillId="2" borderId="6" xfId="2" applyFont="1" applyFill="1" applyBorder="1" applyAlignment="1">
      <alignment horizontal="left" vertical="center"/>
    </xf>
    <xf numFmtId="0" fontId="33" fillId="7" borderId="0" xfId="0" applyFont="1" applyFill="1" applyBorder="1"/>
    <xf numFmtId="0" fontId="33" fillId="6" borderId="0" xfId="0" applyFont="1" applyFill="1" applyBorder="1"/>
    <xf numFmtId="0" fontId="36" fillId="8" borderId="0" xfId="0" applyFont="1" applyFill="1"/>
    <xf numFmtId="167" fontId="13" fillId="2" borderId="2" xfId="1" applyNumberFormat="1" applyFont="1" applyFill="1" applyBorder="1" applyAlignment="1">
      <alignment horizontal="left" vertical="center"/>
    </xf>
    <xf numFmtId="167" fontId="13" fillId="2" borderId="6" xfId="1" applyNumberFormat="1" applyFont="1" applyFill="1" applyBorder="1" applyAlignment="1">
      <alignment horizontal="left" vertical="center"/>
    </xf>
    <xf numFmtId="167" fontId="13" fillId="2" borderId="0" xfId="1" applyNumberFormat="1" applyFont="1" applyFill="1" applyBorder="1" applyAlignment="1">
      <alignment horizontal="left" vertical="center"/>
    </xf>
    <xf numFmtId="167" fontId="16" fillId="2" borderId="6" xfId="0" applyNumberFormat="1" applyFont="1" applyFill="1" applyBorder="1" applyAlignment="1">
      <alignment vertical="center"/>
    </xf>
    <xf numFmtId="10" fontId="0" fillId="2" borderId="9" xfId="1" applyNumberFormat="1" applyFont="1" applyFill="1" applyBorder="1" applyAlignment="1">
      <alignment vertical="center"/>
    </xf>
    <xf numFmtId="170" fontId="0" fillId="2" borderId="9" xfId="0" applyNumberFormat="1" applyFill="1" applyBorder="1" applyAlignment="1">
      <alignment vertical="center"/>
    </xf>
    <xf numFmtId="171" fontId="0" fillId="2" borderId="9" xfId="0" applyNumberFormat="1" applyFill="1" applyBorder="1" applyAlignment="1">
      <alignment vertical="center"/>
    </xf>
    <xf numFmtId="172" fontId="19" fillId="0" borderId="9" xfId="0" applyNumberFormat="1" applyFont="1" applyBorder="1" applyAlignment="1">
      <alignment horizontal="center" vertical="top" wrapText="1"/>
    </xf>
    <xf numFmtId="0" fontId="18" fillId="0" borderId="0" xfId="0" applyFont="1" applyAlignment="1">
      <alignment horizontal="left" vertical="top"/>
    </xf>
    <xf numFmtId="0" fontId="0" fillId="2" borderId="0" xfId="0" applyFont="1" applyFill="1" applyBorder="1" applyAlignment="1">
      <alignment horizontal="left" vertical="center" wrapText="1"/>
    </xf>
    <xf numFmtId="0" fontId="22" fillId="2" borderId="0" xfId="0" applyFont="1" applyFill="1" applyBorder="1" applyAlignment="1">
      <alignment horizontal="center" vertical="center"/>
    </xf>
    <xf numFmtId="0" fontId="16" fillId="4" borderId="9" xfId="0" applyFont="1" applyFill="1" applyBorder="1" applyAlignment="1">
      <alignment horizontal="center" vertical="center" wrapText="1"/>
    </xf>
    <xf numFmtId="0" fontId="34" fillId="6" borderId="9" xfId="0" applyFont="1" applyFill="1" applyBorder="1" applyAlignment="1">
      <alignment horizontal="center"/>
    </xf>
    <xf numFmtId="0" fontId="33" fillId="7" borderId="15" xfId="0" applyFont="1" applyFill="1" applyBorder="1" applyAlignment="1">
      <alignment horizontal="center"/>
    </xf>
    <xf numFmtId="0" fontId="33" fillId="7" borderId="16" xfId="0" applyFont="1" applyFill="1" applyBorder="1" applyAlignment="1">
      <alignment horizontal="center"/>
    </xf>
    <xf numFmtId="0" fontId="33" fillId="7" borderId="17" xfId="0" applyFont="1" applyFill="1" applyBorder="1" applyAlignment="1">
      <alignment horizontal="center"/>
    </xf>
    <xf numFmtId="0" fontId="33" fillId="6" borderId="15" xfId="0" applyFont="1" applyFill="1" applyBorder="1" applyAlignment="1">
      <alignment horizontal="center"/>
    </xf>
    <xf numFmtId="0" fontId="33" fillId="6" borderId="16" xfId="0" applyFont="1" applyFill="1" applyBorder="1" applyAlignment="1">
      <alignment horizontal="center"/>
    </xf>
    <xf numFmtId="0" fontId="33" fillId="6" borderId="17" xfId="0" applyFont="1" applyFill="1" applyBorder="1" applyAlignment="1">
      <alignment horizontal="center"/>
    </xf>
    <xf numFmtId="0" fontId="2" fillId="0" borderId="9" xfId="0" applyFont="1" applyBorder="1" applyAlignment="1">
      <alignment horizontal="left" vertical="top" wrapText="1"/>
    </xf>
  </cellXfs>
  <cellStyles count="3">
    <cellStyle name="Normal" xfId="0" builtinId="0"/>
    <cellStyle name="Normal 2" xfId="2"/>
    <cellStyle name="Percent" xfId="1" builtinId="5"/>
  </cellStyles>
  <dxfs count="6">
    <dxf>
      <font>
        <color rgb="FFC00000"/>
      </font>
      <fill>
        <patternFill>
          <bgColor rgb="FFFFA7A7"/>
        </patternFill>
      </fill>
    </dxf>
    <dxf>
      <font>
        <color rgb="FFC00000"/>
      </font>
      <fill>
        <patternFill>
          <bgColor rgb="FFFFA7A7"/>
        </patternFill>
      </fill>
    </dxf>
    <dxf>
      <font>
        <color rgb="FFC00000"/>
      </font>
      <fill>
        <patternFill>
          <bgColor rgb="FFFFA7A7"/>
        </patternFill>
      </fill>
    </dxf>
    <dxf>
      <font>
        <color rgb="FFC00000"/>
      </font>
      <fill>
        <patternFill>
          <bgColor rgb="FFFFA7A7"/>
        </patternFill>
      </fill>
    </dxf>
    <dxf>
      <font>
        <color rgb="FFC00000"/>
      </font>
      <fill>
        <patternFill>
          <bgColor rgb="FFFFA7A7"/>
        </patternFill>
      </fill>
    </dxf>
    <dxf>
      <font>
        <color rgb="FFC00000"/>
      </font>
      <fill>
        <patternFill>
          <bgColor rgb="FFFFA7A7"/>
        </patternFill>
      </fill>
    </dxf>
  </dxfs>
  <tableStyles count="0" defaultTableStyle="TableStyleMedium2" defaultPivotStyle="PivotStyleLight16"/>
  <colors>
    <mruColors>
      <color rgb="FFFFA7A7"/>
      <color rgb="FF9D1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1014804</xdr:colOff>
      <xdr:row>35</xdr:row>
      <xdr:rowOff>116989</xdr:rowOff>
    </xdr:from>
    <xdr:to>
      <xdr:col>3</xdr:col>
      <xdr:colOff>71269</xdr:colOff>
      <xdr:row>36</xdr:row>
      <xdr:rowOff>63649</xdr:rowOff>
    </xdr:to>
    <xdr:sp macro="" textlink="">
      <xdr:nvSpPr>
        <xdr:cNvPr id="35" name="Rectangle 76"/>
        <xdr:cNvSpPr>
          <a:spLocks noChangeArrowheads="1"/>
        </xdr:cNvSpPr>
      </xdr:nvSpPr>
      <xdr:spPr bwMode="auto">
        <a:xfrm>
          <a:off x="1947133" y="8776895"/>
          <a:ext cx="114301" cy="134919"/>
        </a:xfrm>
        <a:prstGeom prst="rect">
          <a:avLst/>
        </a:prstGeom>
        <a:solidFill>
          <a:srgbClr val="FFFFFF"/>
        </a:solidFill>
        <a:ln w="9525">
          <a:solidFill>
            <a:srgbClr val="000000"/>
          </a:solidFill>
          <a:miter lim="800000"/>
          <a:headEnd/>
          <a:tailEnd/>
        </a:ln>
      </xdr:spPr>
    </xdr:sp>
    <xdr:clientData/>
  </xdr:twoCellAnchor>
  <xdr:twoCellAnchor>
    <xdr:from>
      <xdr:col>5</xdr:col>
      <xdr:colOff>530177</xdr:colOff>
      <xdr:row>47</xdr:row>
      <xdr:rowOff>107720</xdr:rowOff>
    </xdr:from>
    <xdr:to>
      <xdr:col>6</xdr:col>
      <xdr:colOff>45199</xdr:colOff>
      <xdr:row>48</xdr:row>
      <xdr:rowOff>50858</xdr:rowOff>
    </xdr:to>
    <xdr:sp macro="" textlink="">
      <xdr:nvSpPr>
        <xdr:cNvPr id="58" name="Oval 88"/>
        <xdr:cNvSpPr>
          <a:spLocks noChangeArrowheads="1"/>
        </xdr:cNvSpPr>
      </xdr:nvSpPr>
      <xdr:spPr bwMode="auto">
        <a:xfrm>
          <a:off x="4144234" y="12049349"/>
          <a:ext cx="124622" cy="139080"/>
        </a:xfrm>
        <a:prstGeom prst="ellipse">
          <a:avLst/>
        </a:prstGeom>
        <a:solidFill>
          <a:schemeClr val="accent2"/>
        </a:solidFill>
        <a:ln w="9525">
          <a:solidFill>
            <a:schemeClr val="accent2"/>
          </a:solidFill>
          <a:round/>
          <a:headEnd/>
          <a:tailEnd/>
        </a:ln>
      </xdr:spPr>
    </xdr:sp>
    <xdr:clientData/>
  </xdr:twoCellAnchor>
  <xdr:twoCellAnchor>
    <xdr:from>
      <xdr:col>5</xdr:col>
      <xdr:colOff>538484</xdr:colOff>
      <xdr:row>18</xdr:row>
      <xdr:rowOff>135458</xdr:rowOff>
    </xdr:from>
    <xdr:to>
      <xdr:col>6</xdr:col>
      <xdr:colOff>60677</xdr:colOff>
      <xdr:row>19</xdr:row>
      <xdr:rowOff>59900</xdr:rowOff>
    </xdr:to>
    <xdr:sp macro="" textlink="">
      <xdr:nvSpPr>
        <xdr:cNvPr id="68" name="Oval 88"/>
        <xdr:cNvSpPr>
          <a:spLocks noChangeArrowheads="1"/>
        </xdr:cNvSpPr>
      </xdr:nvSpPr>
      <xdr:spPr bwMode="auto">
        <a:xfrm>
          <a:off x="4152541" y="6122601"/>
          <a:ext cx="131793" cy="120385"/>
        </a:xfrm>
        <a:prstGeom prst="ellipse">
          <a:avLst/>
        </a:prstGeom>
        <a:solidFill>
          <a:schemeClr val="accent2"/>
        </a:solidFill>
        <a:ln w="9525">
          <a:solidFill>
            <a:schemeClr val="accent2"/>
          </a:solidFill>
          <a:round/>
          <a:headEnd/>
          <a:tailEnd/>
        </a:ln>
      </xdr:spPr>
    </xdr:sp>
    <xdr:clientData/>
  </xdr:twoCellAnchor>
  <xdr:twoCellAnchor>
    <xdr:from>
      <xdr:col>8</xdr:col>
      <xdr:colOff>1124419</xdr:colOff>
      <xdr:row>38</xdr:row>
      <xdr:rowOff>131588</xdr:rowOff>
    </xdr:from>
    <xdr:to>
      <xdr:col>9</xdr:col>
      <xdr:colOff>51601</xdr:colOff>
      <xdr:row>39</xdr:row>
      <xdr:rowOff>54332</xdr:rowOff>
    </xdr:to>
    <xdr:sp macro="" textlink="">
      <xdr:nvSpPr>
        <xdr:cNvPr id="70" name="Oval 88"/>
        <xdr:cNvSpPr>
          <a:spLocks noChangeArrowheads="1"/>
        </xdr:cNvSpPr>
      </xdr:nvSpPr>
      <xdr:spPr bwMode="auto">
        <a:xfrm>
          <a:off x="6541546" y="10079152"/>
          <a:ext cx="118673" cy="116707"/>
        </a:xfrm>
        <a:prstGeom prst="ellipse">
          <a:avLst/>
        </a:prstGeom>
        <a:solidFill>
          <a:schemeClr val="accent2"/>
        </a:solidFill>
        <a:ln w="9525">
          <a:solidFill>
            <a:schemeClr val="accent2"/>
          </a:solidFill>
          <a:round/>
          <a:headEnd/>
          <a:tailEnd/>
        </a:ln>
      </xdr:spPr>
    </xdr:sp>
    <xdr:clientData/>
  </xdr:twoCellAnchor>
  <xdr:twoCellAnchor>
    <xdr:from>
      <xdr:col>8</xdr:col>
      <xdr:colOff>1141446</xdr:colOff>
      <xdr:row>18</xdr:row>
      <xdr:rowOff>133375</xdr:rowOff>
    </xdr:from>
    <xdr:to>
      <xdr:col>9</xdr:col>
      <xdr:colOff>68628</xdr:colOff>
      <xdr:row>19</xdr:row>
      <xdr:rowOff>46712</xdr:rowOff>
    </xdr:to>
    <xdr:sp macro="" textlink="">
      <xdr:nvSpPr>
        <xdr:cNvPr id="72" name="Oval 88"/>
        <xdr:cNvSpPr>
          <a:spLocks noChangeArrowheads="1"/>
        </xdr:cNvSpPr>
      </xdr:nvSpPr>
      <xdr:spPr bwMode="auto">
        <a:xfrm>
          <a:off x="6710631" y="5627301"/>
          <a:ext cx="121923" cy="101485"/>
        </a:xfrm>
        <a:prstGeom prst="ellipse">
          <a:avLst/>
        </a:prstGeom>
        <a:solidFill>
          <a:schemeClr val="accent2"/>
        </a:solidFill>
        <a:ln w="9525">
          <a:solidFill>
            <a:schemeClr val="accent2"/>
          </a:solidFill>
          <a:round/>
          <a:headEnd/>
          <a:tailEnd/>
        </a:ln>
      </xdr:spPr>
    </xdr:sp>
    <xdr:clientData/>
  </xdr:twoCellAnchor>
  <xdr:twoCellAnchor>
    <xdr:from>
      <xdr:col>8</xdr:col>
      <xdr:colOff>1139659</xdr:colOff>
      <xdr:row>9</xdr:row>
      <xdr:rowOff>131588</xdr:rowOff>
    </xdr:from>
    <xdr:to>
      <xdr:col>9</xdr:col>
      <xdr:colOff>66841</xdr:colOff>
      <xdr:row>10</xdr:row>
      <xdr:rowOff>54332</xdr:rowOff>
    </xdr:to>
    <xdr:sp macro="" textlink="">
      <xdr:nvSpPr>
        <xdr:cNvPr id="73" name="Oval 88"/>
        <xdr:cNvSpPr>
          <a:spLocks noChangeArrowheads="1"/>
        </xdr:cNvSpPr>
      </xdr:nvSpPr>
      <xdr:spPr bwMode="auto">
        <a:xfrm>
          <a:off x="6556786" y="4163261"/>
          <a:ext cx="118673" cy="116707"/>
        </a:xfrm>
        <a:prstGeom prst="ellipse">
          <a:avLst/>
        </a:prstGeom>
        <a:solidFill>
          <a:schemeClr val="accent2"/>
        </a:solidFill>
        <a:ln w="9525">
          <a:solidFill>
            <a:schemeClr val="accent2"/>
          </a:solidFill>
          <a:round/>
          <a:headEnd/>
          <a:tailEnd/>
        </a:ln>
      </xdr:spPr>
    </xdr:sp>
    <xdr:clientData/>
  </xdr:twoCellAnchor>
  <xdr:twoCellAnchor>
    <xdr:from>
      <xdr:col>11</xdr:col>
      <xdr:colOff>7623</xdr:colOff>
      <xdr:row>58</xdr:row>
      <xdr:rowOff>118224</xdr:rowOff>
    </xdr:from>
    <xdr:to>
      <xdr:col>11</xdr:col>
      <xdr:colOff>164984</xdr:colOff>
      <xdr:row>59</xdr:row>
      <xdr:rowOff>63036</xdr:rowOff>
    </xdr:to>
    <xdr:sp macro="" textlink="">
      <xdr:nvSpPr>
        <xdr:cNvPr id="76" name="AutoShape 30"/>
        <xdr:cNvSpPr>
          <a:spLocks noChangeArrowheads="1"/>
        </xdr:cNvSpPr>
      </xdr:nvSpPr>
      <xdr:spPr bwMode="auto">
        <a:xfrm rot="16200000">
          <a:off x="8606734" y="12106967"/>
          <a:ext cx="138776" cy="157361"/>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11</xdr:col>
      <xdr:colOff>3</xdr:colOff>
      <xdr:row>53</xdr:row>
      <xdr:rowOff>110604</xdr:rowOff>
    </xdr:from>
    <xdr:to>
      <xdr:col>11</xdr:col>
      <xdr:colOff>157364</xdr:colOff>
      <xdr:row>54</xdr:row>
      <xdr:rowOff>55416</xdr:rowOff>
    </xdr:to>
    <xdr:sp macro="" textlink="">
      <xdr:nvSpPr>
        <xdr:cNvPr id="77" name="AutoShape 30"/>
        <xdr:cNvSpPr>
          <a:spLocks noChangeArrowheads="1"/>
        </xdr:cNvSpPr>
      </xdr:nvSpPr>
      <xdr:spPr bwMode="auto">
        <a:xfrm rot="16200000">
          <a:off x="8599114" y="11046402"/>
          <a:ext cx="138776" cy="157361"/>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10</xdr:col>
      <xdr:colOff>1056589</xdr:colOff>
      <xdr:row>15</xdr:row>
      <xdr:rowOff>216369</xdr:rowOff>
    </xdr:from>
    <xdr:to>
      <xdr:col>11</xdr:col>
      <xdr:colOff>94077</xdr:colOff>
      <xdr:row>16</xdr:row>
      <xdr:rowOff>62057</xdr:rowOff>
    </xdr:to>
    <xdr:sp macro="" textlink="">
      <xdr:nvSpPr>
        <xdr:cNvPr id="84" name="AutoShape 30"/>
        <xdr:cNvSpPr>
          <a:spLocks noChangeArrowheads="1"/>
        </xdr:cNvSpPr>
      </xdr:nvSpPr>
      <xdr:spPr bwMode="auto">
        <a:xfrm rot="16200000">
          <a:off x="8568822" y="5065469"/>
          <a:ext cx="146725" cy="100525"/>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11</xdr:col>
      <xdr:colOff>849</xdr:colOff>
      <xdr:row>11</xdr:row>
      <xdr:rowOff>132080</xdr:rowOff>
    </xdr:from>
    <xdr:to>
      <xdr:col>11</xdr:col>
      <xdr:colOff>144892</xdr:colOff>
      <xdr:row>12</xdr:row>
      <xdr:rowOff>62057</xdr:rowOff>
    </xdr:to>
    <xdr:sp macro="" textlink="">
      <xdr:nvSpPr>
        <xdr:cNvPr id="85" name="AutoShape 30"/>
        <xdr:cNvSpPr>
          <a:spLocks noChangeArrowheads="1"/>
        </xdr:cNvSpPr>
      </xdr:nvSpPr>
      <xdr:spPr bwMode="auto">
        <a:xfrm rot="16200000">
          <a:off x="8254355" y="4527774"/>
          <a:ext cx="123941" cy="144043"/>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11</xdr:col>
      <xdr:colOff>3765</xdr:colOff>
      <xdr:row>6</xdr:row>
      <xdr:rowOff>185057</xdr:rowOff>
    </xdr:from>
    <xdr:to>
      <xdr:col>11</xdr:col>
      <xdr:colOff>163289</xdr:colOff>
      <xdr:row>7</xdr:row>
      <xdr:rowOff>65849</xdr:rowOff>
    </xdr:to>
    <xdr:sp macro="" textlink="">
      <xdr:nvSpPr>
        <xdr:cNvPr id="86" name="AutoShape 30"/>
        <xdr:cNvSpPr>
          <a:spLocks noChangeArrowheads="1"/>
        </xdr:cNvSpPr>
      </xdr:nvSpPr>
      <xdr:spPr bwMode="auto">
        <a:xfrm rot="16200000">
          <a:off x="8606774" y="3284191"/>
          <a:ext cx="152934" cy="159524"/>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8</xdr:col>
      <xdr:colOff>1110074</xdr:colOff>
      <xdr:row>56</xdr:row>
      <xdr:rowOff>110113</xdr:rowOff>
    </xdr:from>
    <xdr:to>
      <xdr:col>9</xdr:col>
      <xdr:colOff>69273</xdr:colOff>
      <xdr:row>57</xdr:row>
      <xdr:rowOff>47037</xdr:rowOff>
    </xdr:to>
    <xdr:sp macro="" textlink="">
      <xdr:nvSpPr>
        <xdr:cNvPr id="26" name="Oval 88"/>
        <xdr:cNvSpPr>
          <a:spLocks noChangeArrowheads="1"/>
        </xdr:cNvSpPr>
      </xdr:nvSpPr>
      <xdr:spPr bwMode="auto">
        <a:xfrm>
          <a:off x="6679259" y="11859965"/>
          <a:ext cx="153940" cy="125072"/>
        </a:xfrm>
        <a:prstGeom prst="ellipse">
          <a:avLst/>
        </a:prstGeom>
        <a:solidFill>
          <a:schemeClr val="accent2"/>
        </a:solidFill>
        <a:ln w="9525">
          <a:solidFill>
            <a:schemeClr val="accent2"/>
          </a:solidFill>
          <a:round/>
          <a:headEnd/>
          <a:tailEnd/>
        </a:ln>
      </xdr:spPr>
    </xdr:sp>
    <xdr:clientData/>
  </xdr:twoCellAnchor>
  <xdr:twoCellAnchor>
    <xdr:from>
      <xdr:col>8</xdr:col>
      <xdr:colOff>1128923</xdr:colOff>
      <xdr:row>27</xdr:row>
      <xdr:rowOff>147304</xdr:rowOff>
    </xdr:from>
    <xdr:to>
      <xdr:col>9</xdr:col>
      <xdr:colOff>56105</xdr:colOff>
      <xdr:row>28</xdr:row>
      <xdr:rowOff>70048</xdr:rowOff>
    </xdr:to>
    <xdr:sp macro="" textlink="">
      <xdr:nvSpPr>
        <xdr:cNvPr id="27" name="Oval 88"/>
        <xdr:cNvSpPr>
          <a:spLocks noChangeArrowheads="1"/>
        </xdr:cNvSpPr>
      </xdr:nvSpPr>
      <xdr:spPr bwMode="auto">
        <a:xfrm>
          <a:off x="6848405" y="7345963"/>
          <a:ext cx="119488" cy="111003"/>
        </a:xfrm>
        <a:prstGeom prst="ellipse">
          <a:avLst/>
        </a:prstGeom>
        <a:solidFill>
          <a:schemeClr val="accent2"/>
        </a:solidFill>
        <a:ln w="9525">
          <a:solidFill>
            <a:schemeClr val="accent2"/>
          </a:solidFill>
          <a:round/>
          <a:headEnd/>
          <a:tailEnd/>
        </a:ln>
      </xdr:spPr>
    </xdr:sp>
    <xdr:clientData/>
  </xdr:twoCellAnchor>
  <xdr:twoCellAnchor>
    <xdr:from>
      <xdr:col>1</xdr:col>
      <xdr:colOff>526474</xdr:colOff>
      <xdr:row>35</xdr:row>
      <xdr:rowOff>110835</xdr:rowOff>
    </xdr:from>
    <xdr:to>
      <xdr:col>2</xdr:col>
      <xdr:colOff>11777</xdr:colOff>
      <xdr:row>36</xdr:row>
      <xdr:rowOff>83125</xdr:rowOff>
    </xdr:to>
    <xdr:sp macro="" textlink="">
      <xdr:nvSpPr>
        <xdr:cNvPr id="28" name="Rectangle 76"/>
        <xdr:cNvSpPr>
          <a:spLocks noChangeArrowheads="1"/>
        </xdr:cNvSpPr>
      </xdr:nvSpPr>
      <xdr:spPr bwMode="auto">
        <a:xfrm flipV="1">
          <a:off x="789710" y="8839199"/>
          <a:ext cx="150322" cy="166253"/>
        </a:xfrm>
        <a:prstGeom prst="rect">
          <a:avLst/>
        </a:prstGeom>
        <a:solidFill>
          <a:srgbClr val="FFFFFF"/>
        </a:solidFill>
        <a:ln w="9525">
          <a:solidFill>
            <a:srgbClr val="000000"/>
          </a:solidFill>
          <a:miter lim="800000"/>
          <a:headEnd/>
          <a:tailEnd/>
        </a:ln>
      </xdr:spPr>
    </xdr:sp>
    <xdr:clientData/>
  </xdr:twoCellAnchor>
  <xdr:twoCellAnchor>
    <xdr:from>
      <xdr:col>10</xdr:col>
      <xdr:colOff>1032858</xdr:colOff>
      <xdr:row>40</xdr:row>
      <xdr:rowOff>118224</xdr:rowOff>
    </xdr:from>
    <xdr:to>
      <xdr:col>11</xdr:col>
      <xdr:colOff>123419</xdr:colOff>
      <xdr:row>41</xdr:row>
      <xdr:rowOff>63036</xdr:rowOff>
    </xdr:to>
    <xdr:sp macro="" textlink="">
      <xdr:nvSpPr>
        <xdr:cNvPr id="32" name="AutoShape 30"/>
        <xdr:cNvSpPr>
          <a:spLocks noChangeArrowheads="1"/>
        </xdr:cNvSpPr>
      </xdr:nvSpPr>
      <xdr:spPr bwMode="auto">
        <a:xfrm rot="16200000">
          <a:off x="8565169" y="10499840"/>
          <a:ext cx="138776" cy="157361"/>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10</xdr:col>
      <xdr:colOff>1032861</xdr:colOff>
      <xdr:row>35</xdr:row>
      <xdr:rowOff>118224</xdr:rowOff>
    </xdr:from>
    <xdr:to>
      <xdr:col>11</xdr:col>
      <xdr:colOff>123420</xdr:colOff>
      <xdr:row>36</xdr:row>
      <xdr:rowOff>63036</xdr:rowOff>
    </xdr:to>
    <xdr:sp macro="" textlink="">
      <xdr:nvSpPr>
        <xdr:cNvPr id="33" name="AutoShape 30"/>
        <xdr:cNvSpPr>
          <a:spLocks noChangeArrowheads="1"/>
        </xdr:cNvSpPr>
      </xdr:nvSpPr>
      <xdr:spPr bwMode="auto">
        <a:xfrm rot="16200000">
          <a:off x="8565171" y="9571587"/>
          <a:ext cx="138775" cy="157359"/>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10</xdr:col>
      <xdr:colOff>1065387</xdr:colOff>
      <xdr:row>29</xdr:row>
      <xdr:rowOff>95000</xdr:rowOff>
    </xdr:from>
    <xdr:to>
      <xdr:col>11</xdr:col>
      <xdr:colOff>141514</xdr:colOff>
      <xdr:row>30</xdr:row>
      <xdr:rowOff>65815</xdr:rowOff>
    </xdr:to>
    <xdr:sp macro="" textlink="">
      <xdr:nvSpPr>
        <xdr:cNvPr id="34" name="AutoShape 30"/>
        <xdr:cNvSpPr>
          <a:spLocks noChangeArrowheads="1"/>
        </xdr:cNvSpPr>
      </xdr:nvSpPr>
      <xdr:spPr bwMode="auto">
        <a:xfrm rot="16200000">
          <a:off x="8577479" y="7781344"/>
          <a:ext cx="164779" cy="142927"/>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10</xdr:col>
      <xdr:colOff>1039092</xdr:colOff>
      <xdr:row>24</xdr:row>
      <xdr:rowOff>118223</xdr:rowOff>
    </xdr:from>
    <xdr:to>
      <xdr:col>11</xdr:col>
      <xdr:colOff>129653</xdr:colOff>
      <xdr:row>25</xdr:row>
      <xdr:rowOff>63035</xdr:rowOff>
    </xdr:to>
    <xdr:sp macro="" textlink="">
      <xdr:nvSpPr>
        <xdr:cNvPr id="36" name="AutoShape 30"/>
        <xdr:cNvSpPr>
          <a:spLocks noChangeArrowheads="1"/>
        </xdr:cNvSpPr>
      </xdr:nvSpPr>
      <xdr:spPr bwMode="auto">
        <a:xfrm rot="16200000">
          <a:off x="8571403" y="6745257"/>
          <a:ext cx="138776" cy="157361"/>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10</xdr:col>
      <xdr:colOff>1046712</xdr:colOff>
      <xdr:row>20</xdr:row>
      <xdr:rowOff>118223</xdr:rowOff>
    </xdr:from>
    <xdr:to>
      <xdr:col>11</xdr:col>
      <xdr:colOff>137273</xdr:colOff>
      <xdr:row>21</xdr:row>
      <xdr:rowOff>63035</xdr:rowOff>
    </xdr:to>
    <xdr:sp macro="" textlink="">
      <xdr:nvSpPr>
        <xdr:cNvPr id="37" name="AutoShape 30"/>
        <xdr:cNvSpPr>
          <a:spLocks noChangeArrowheads="1"/>
        </xdr:cNvSpPr>
      </xdr:nvSpPr>
      <xdr:spPr bwMode="auto">
        <a:xfrm rot="16200000">
          <a:off x="8579023" y="6177221"/>
          <a:ext cx="138776" cy="157361"/>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8</xdr:col>
      <xdr:colOff>1109574</xdr:colOff>
      <xdr:row>47</xdr:row>
      <xdr:rowOff>129609</xdr:rowOff>
    </xdr:from>
    <xdr:to>
      <xdr:col>9</xdr:col>
      <xdr:colOff>36756</xdr:colOff>
      <xdr:row>48</xdr:row>
      <xdr:rowOff>52353</xdr:rowOff>
    </xdr:to>
    <xdr:sp macro="" textlink="">
      <xdr:nvSpPr>
        <xdr:cNvPr id="21" name="Oval 88"/>
        <xdr:cNvSpPr>
          <a:spLocks noChangeArrowheads="1"/>
        </xdr:cNvSpPr>
      </xdr:nvSpPr>
      <xdr:spPr bwMode="auto">
        <a:xfrm>
          <a:off x="6672174" y="11265695"/>
          <a:ext cx="124611" cy="118687"/>
        </a:xfrm>
        <a:prstGeom prst="ellipse">
          <a:avLst/>
        </a:prstGeom>
        <a:solidFill>
          <a:schemeClr val="accent2"/>
        </a:solidFill>
        <a:ln w="9525">
          <a:solidFill>
            <a:schemeClr val="accent2"/>
          </a:solidFill>
          <a:round/>
          <a:headEnd/>
          <a:tailEnd/>
        </a:ln>
      </xdr:spPr>
    </xdr:sp>
    <xdr:clientData/>
  </xdr:twoCellAnchor>
  <xdr:twoCellAnchor>
    <xdr:from>
      <xdr:col>10</xdr:col>
      <xdr:colOff>1043744</xdr:colOff>
      <xdr:row>49</xdr:row>
      <xdr:rowOff>107338</xdr:rowOff>
    </xdr:from>
    <xdr:to>
      <xdr:col>11</xdr:col>
      <xdr:colOff>134305</xdr:colOff>
      <xdr:row>50</xdr:row>
      <xdr:rowOff>52150</xdr:rowOff>
    </xdr:to>
    <xdr:sp macro="" textlink="">
      <xdr:nvSpPr>
        <xdr:cNvPr id="22" name="AutoShape 30"/>
        <xdr:cNvSpPr>
          <a:spLocks noChangeArrowheads="1"/>
        </xdr:cNvSpPr>
      </xdr:nvSpPr>
      <xdr:spPr bwMode="auto">
        <a:xfrm rot="16200000">
          <a:off x="8584961" y="11724978"/>
          <a:ext cx="140755" cy="157361"/>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10</xdr:col>
      <xdr:colOff>1043747</xdr:colOff>
      <xdr:row>44</xdr:row>
      <xdr:rowOff>96453</xdr:rowOff>
    </xdr:from>
    <xdr:to>
      <xdr:col>11</xdr:col>
      <xdr:colOff>134306</xdr:colOff>
      <xdr:row>45</xdr:row>
      <xdr:rowOff>52151</xdr:rowOff>
    </xdr:to>
    <xdr:sp macro="" textlink="">
      <xdr:nvSpPr>
        <xdr:cNvPr id="23" name="AutoShape 30"/>
        <xdr:cNvSpPr>
          <a:spLocks noChangeArrowheads="1"/>
        </xdr:cNvSpPr>
      </xdr:nvSpPr>
      <xdr:spPr bwMode="auto">
        <a:xfrm rot="16200000">
          <a:off x="8584963" y="10669065"/>
          <a:ext cx="140755" cy="157359"/>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8</xdr:col>
      <xdr:colOff>1124419</xdr:colOff>
      <xdr:row>47</xdr:row>
      <xdr:rowOff>131588</xdr:rowOff>
    </xdr:from>
    <xdr:to>
      <xdr:col>9</xdr:col>
      <xdr:colOff>51601</xdr:colOff>
      <xdr:row>48</xdr:row>
      <xdr:rowOff>54332</xdr:rowOff>
    </xdr:to>
    <xdr:sp macro="" textlink="">
      <xdr:nvSpPr>
        <xdr:cNvPr id="24" name="Oval 88"/>
        <xdr:cNvSpPr>
          <a:spLocks noChangeArrowheads="1"/>
        </xdr:cNvSpPr>
      </xdr:nvSpPr>
      <xdr:spPr bwMode="auto">
        <a:xfrm>
          <a:off x="6687019" y="9580388"/>
          <a:ext cx="124611" cy="118687"/>
        </a:xfrm>
        <a:prstGeom prst="ellipse">
          <a:avLst/>
        </a:prstGeom>
        <a:solidFill>
          <a:schemeClr val="accent2"/>
        </a:solidFill>
        <a:ln w="9525">
          <a:solidFill>
            <a:schemeClr val="accent2"/>
          </a:solidFill>
          <a:round/>
          <a:headEnd/>
          <a:tailEnd/>
        </a:ln>
      </xdr:spPr>
    </xdr:sp>
    <xdr:clientData/>
  </xdr:twoCellAnchor>
  <xdr:twoCellAnchor>
    <xdr:from>
      <xdr:col>10</xdr:col>
      <xdr:colOff>1032861</xdr:colOff>
      <xdr:row>44</xdr:row>
      <xdr:rowOff>118224</xdr:rowOff>
    </xdr:from>
    <xdr:to>
      <xdr:col>11</xdr:col>
      <xdr:colOff>123420</xdr:colOff>
      <xdr:row>45</xdr:row>
      <xdr:rowOff>63036</xdr:rowOff>
    </xdr:to>
    <xdr:sp macro="" textlink="">
      <xdr:nvSpPr>
        <xdr:cNvPr id="25" name="AutoShape 30"/>
        <xdr:cNvSpPr>
          <a:spLocks noChangeArrowheads="1"/>
        </xdr:cNvSpPr>
      </xdr:nvSpPr>
      <xdr:spPr bwMode="auto">
        <a:xfrm rot="16200000">
          <a:off x="8574077" y="8883808"/>
          <a:ext cx="140755" cy="157359"/>
        </a:xfrm>
        <a:prstGeom prst="triangle">
          <a:avLst>
            <a:gd name="adj" fmla="val 50000"/>
          </a:avLst>
        </a:prstGeom>
        <a:solidFill>
          <a:srgbClr val="C00000"/>
        </a:solidFill>
        <a:ln w="9525">
          <a:solidFill>
            <a:srgbClr val="C00000"/>
          </a:solidFill>
          <a:miter lim="800000"/>
          <a:headEnd/>
          <a:tailEnd/>
        </a:ln>
      </xdr:spPr>
    </xdr:sp>
    <xdr:clientData/>
  </xdr:twoCellAnchor>
  <xdr:twoCellAnchor>
    <xdr:from>
      <xdr:col>10</xdr:col>
      <xdr:colOff>1032858</xdr:colOff>
      <xdr:row>49</xdr:row>
      <xdr:rowOff>118224</xdr:rowOff>
    </xdr:from>
    <xdr:to>
      <xdr:col>11</xdr:col>
      <xdr:colOff>123419</xdr:colOff>
      <xdr:row>50</xdr:row>
      <xdr:rowOff>63036</xdr:rowOff>
    </xdr:to>
    <xdr:sp macro="" textlink="">
      <xdr:nvSpPr>
        <xdr:cNvPr id="29" name="AutoShape 30"/>
        <xdr:cNvSpPr>
          <a:spLocks noChangeArrowheads="1"/>
        </xdr:cNvSpPr>
      </xdr:nvSpPr>
      <xdr:spPr bwMode="auto">
        <a:xfrm rot="16200000">
          <a:off x="8574075" y="9939721"/>
          <a:ext cx="140755" cy="157361"/>
        </a:xfrm>
        <a:prstGeom prst="triangle">
          <a:avLst>
            <a:gd name="adj" fmla="val 50000"/>
          </a:avLst>
        </a:prstGeom>
        <a:solidFill>
          <a:srgbClr val="C00000"/>
        </a:solidFill>
        <a:ln w="9525">
          <a:solidFill>
            <a:srgbClr val="C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5"/>
  <sheetViews>
    <sheetView tabSelected="1" topLeftCell="C7" zoomScale="70" zoomScaleNormal="70" workbookViewId="0">
      <selection activeCell="Y7" sqref="Y7"/>
    </sheetView>
  </sheetViews>
  <sheetFormatPr defaultColWidth="8.90625" defaultRowHeight="14.5" x14ac:dyDescent="0.35"/>
  <cols>
    <col min="1" max="1" width="3.90625" style="16" customWidth="1"/>
    <col min="2" max="2" width="9.6328125" style="16" customWidth="1"/>
    <col min="3" max="3" width="15.453125" style="16" customWidth="1"/>
    <col min="4" max="4" width="8.90625" style="16"/>
    <col min="5" max="5" width="14.81640625" style="16" customWidth="1"/>
    <col min="6" max="6" width="8.90625" style="16"/>
    <col min="7" max="7" width="12.90625" style="16" customWidth="1"/>
    <col min="8" max="8" width="8.90625" style="16"/>
    <col min="9" max="9" width="17.453125" style="16" customWidth="1"/>
    <col min="10" max="10" width="11.1796875" style="16" customWidth="1"/>
    <col min="11" max="11" width="15.54296875" style="16" customWidth="1"/>
    <col min="12" max="12" width="8.90625" style="16"/>
    <col min="13" max="13" width="14.54296875" style="16" customWidth="1"/>
    <col min="14" max="14" width="20" style="16" customWidth="1"/>
    <col min="15" max="15" width="14.90625" style="16" customWidth="1"/>
    <col min="16" max="17" width="18.90625" style="16" customWidth="1"/>
    <col min="18" max="18" width="20.1796875" style="16" customWidth="1"/>
    <col min="19" max="19" width="16.36328125" style="16" customWidth="1"/>
    <col min="20" max="20" width="20.54296875" style="16" customWidth="1"/>
    <col min="21" max="21" width="18.81640625" style="16" customWidth="1"/>
    <col min="22" max="22" width="27" style="16" customWidth="1"/>
    <col min="23" max="23" width="27.81640625" style="16" customWidth="1"/>
    <col min="24" max="24" width="20.90625" style="16" customWidth="1"/>
    <col min="25" max="25" width="18.54296875" style="16" customWidth="1"/>
    <col min="26" max="26" width="17" style="16" customWidth="1"/>
    <col min="27" max="27" width="18.08984375" style="16" customWidth="1"/>
    <col min="28" max="28" width="27" style="16" customWidth="1"/>
    <col min="29" max="29" width="27.81640625" style="16" customWidth="1"/>
    <col min="30" max="30" width="20.90625" style="16" customWidth="1"/>
    <col min="31" max="31" width="18.54296875" style="16" customWidth="1"/>
    <col min="32" max="32" width="17" style="16" customWidth="1"/>
    <col min="33" max="39" width="8.90625" style="16"/>
    <col min="40" max="42" width="33.54296875" style="16" customWidth="1"/>
    <col min="43" max="16384" width="8.90625" style="16"/>
  </cols>
  <sheetData>
    <row r="2" spans="2:42" ht="38.4" customHeight="1" x14ac:dyDescent="0.35">
      <c r="B2" s="150" t="s">
        <v>100</v>
      </c>
      <c r="C2" s="150"/>
      <c r="D2" s="150"/>
      <c r="E2" s="150"/>
      <c r="F2" s="150"/>
      <c r="G2" s="150"/>
      <c r="H2" s="150"/>
      <c r="I2" s="150"/>
      <c r="J2" s="150"/>
      <c r="K2" s="150"/>
      <c r="L2" s="150"/>
      <c r="M2" s="150"/>
      <c r="N2" s="150"/>
      <c r="O2" s="150"/>
      <c r="P2" s="150"/>
      <c r="Q2" s="150"/>
      <c r="R2" s="150"/>
      <c r="S2" s="150"/>
    </row>
    <row r="3" spans="2:42" ht="119.4" customHeight="1" thickBot="1" x14ac:dyDescent="0.4">
      <c r="B3" s="149" t="s">
        <v>149</v>
      </c>
      <c r="C3" s="149"/>
      <c r="D3" s="149"/>
      <c r="E3" s="149"/>
      <c r="F3" s="149"/>
      <c r="G3" s="149"/>
      <c r="H3" s="149"/>
      <c r="I3" s="149"/>
      <c r="J3" s="149"/>
      <c r="K3" s="149"/>
      <c r="L3" s="149"/>
      <c r="M3" s="149"/>
      <c r="N3" s="149"/>
      <c r="O3" s="149"/>
      <c r="P3" s="149"/>
      <c r="Q3" s="149"/>
      <c r="R3" s="149"/>
      <c r="S3" s="149"/>
    </row>
    <row r="4" spans="2:42" ht="22.75" customHeight="1" x14ac:dyDescent="0.35">
      <c r="B4" s="63"/>
      <c r="C4" s="57"/>
      <c r="D4" s="57"/>
      <c r="E4" s="57"/>
      <c r="F4" s="57"/>
      <c r="G4" s="57"/>
      <c r="H4" s="57"/>
      <c r="I4" s="57"/>
      <c r="J4" s="57"/>
      <c r="K4" s="57"/>
      <c r="L4" s="57"/>
      <c r="M4" s="57"/>
      <c r="N4" s="57"/>
      <c r="O4" s="57"/>
      <c r="P4" s="57"/>
      <c r="Q4" s="57"/>
      <c r="R4" s="57"/>
      <c r="S4" s="57"/>
      <c r="T4" s="58"/>
      <c r="V4" s="93" t="s">
        <v>119</v>
      </c>
      <c r="W4" s="94"/>
      <c r="X4" s="95"/>
      <c r="Y4" s="95"/>
      <c r="Z4" s="95"/>
      <c r="AB4" s="93" t="s">
        <v>119</v>
      </c>
      <c r="AC4" s="94"/>
      <c r="AD4" s="95"/>
      <c r="AE4" s="95"/>
      <c r="AF4" s="95"/>
      <c r="AN4" s="91" t="s">
        <v>115</v>
      </c>
    </row>
    <row r="5" spans="2:42" ht="46" x14ac:dyDescent="0.35">
      <c r="B5" s="30"/>
      <c r="M5" s="74" t="s">
        <v>71</v>
      </c>
      <c r="N5" s="74" t="s">
        <v>109</v>
      </c>
      <c r="P5" s="74" t="s">
        <v>102</v>
      </c>
      <c r="Q5" s="74" t="s">
        <v>103</v>
      </c>
      <c r="R5" s="74" t="s">
        <v>116</v>
      </c>
      <c r="S5" s="74" t="s">
        <v>117</v>
      </c>
      <c r="T5" s="39"/>
      <c r="V5" s="74"/>
      <c r="W5" s="74" t="s">
        <v>3</v>
      </c>
      <c r="X5" s="74" t="s">
        <v>104</v>
      </c>
      <c r="Y5" s="74" t="s">
        <v>114</v>
      </c>
      <c r="AB5" s="74"/>
      <c r="AC5" s="74" t="s">
        <v>3</v>
      </c>
      <c r="AD5" s="74" t="s">
        <v>104</v>
      </c>
      <c r="AE5" s="74" t="s">
        <v>114</v>
      </c>
      <c r="AF5" s="74" t="s">
        <v>118</v>
      </c>
      <c r="AG5" s="74" t="s">
        <v>164</v>
      </c>
      <c r="AH5" s="74" t="s">
        <v>165</v>
      </c>
      <c r="AN5" s="74"/>
      <c r="AO5" s="74" t="s">
        <v>3</v>
      </c>
      <c r="AP5" s="74" t="s">
        <v>104</v>
      </c>
    </row>
    <row r="6" spans="2:42" x14ac:dyDescent="0.35">
      <c r="B6" s="43"/>
      <c r="C6" s="17"/>
      <c r="D6" s="17"/>
      <c r="E6" s="17"/>
      <c r="F6" s="17"/>
      <c r="G6" s="17"/>
      <c r="H6" s="17"/>
      <c r="I6" s="17"/>
      <c r="J6" s="17"/>
      <c r="K6" s="17"/>
      <c r="L6" s="17"/>
      <c r="M6" s="18"/>
      <c r="N6" s="18"/>
      <c r="O6" s="18"/>
      <c r="P6" s="18"/>
      <c r="Q6" s="18"/>
      <c r="R6" s="18"/>
      <c r="T6" s="39"/>
      <c r="V6" s="88" t="s">
        <v>110</v>
      </c>
      <c r="W6" s="87">
        <v>4528998025.6034203</v>
      </c>
      <c r="X6" s="87">
        <v>60131550722.351593</v>
      </c>
      <c r="Y6" s="86"/>
      <c r="AB6" s="88" t="s">
        <v>110</v>
      </c>
      <c r="AC6" s="87">
        <f>W6/Population!$S$4</f>
        <v>8.8539536610361118</v>
      </c>
      <c r="AD6" s="87">
        <f>X6/Population!$S$4</f>
        <v>117.55402865096393</v>
      </c>
      <c r="AE6" s="86"/>
      <c r="AF6" s="90"/>
      <c r="AG6" s="87">
        <f>SUM(AC6:AD6)</f>
        <v>126.40798231200004</v>
      </c>
      <c r="AH6" s="86"/>
      <c r="AN6" s="88" t="s">
        <v>110</v>
      </c>
      <c r="AO6" s="87">
        <f>SUM($N$7:$N$35)</f>
        <v>4528998025.6034164</v>
      </c>
      <c r="AP6" s="87">
        <f>SUM($N$36:$N$62)</f>
        <v>60131550722.351593</v>
      </c>
    </row>
    <row r="7" spans="2:42" ht="21" customHeight="1" thickBot="1" x14ac:dyDescent="0.4">
      <c r="B7" s="43"/>
      <c r="C7" s="17"/>
      <c r="D7" s="17"/>
      <c r="E7" s="17"/>
      <c r="F7" s="17"/>
      <c r="G7" s="17"/>
      <c r="H7" s="17"/>
      <c r="I7" s="17"/>
      <c r="J7" s="22" t="s">
        <v>0</v>
      </c>
      <c r="K7" s="23"/>
      <c r="L7" s="23"/>
      <c r="M7" s="123">
        <f>D20*H11*J8</f>
        <v>3.7317600000000006E-2</v>
      </c>
      <c r="N7" s="124">
        <f>(H12*K8)</f>
        <v>837470205.89721048</v>
      </c>
      <c r="O7" s="125"/>
      <c r="P7" s="126">
        <f>J9*K8</f>
        <v>8626686.4273237083</v>
      </c>
      <c r="Q7" s="126">
        <f>(K8*H13)/480</f>
        <v>394022.77678864816</v>
      </c>
      <c r="R7" s="125">
        <f>0</f>
        <v>0</v>
      </c>
      <c r="S7" s="125">
        <f>(K8*Parameters!$K$17)</f>
        <v>13316361.599224515</v>
      </c>
      <c r="T7" s="39"/>
      <c r="V7" s="89" t="s">
        <v>105</v>
      </c>
      <c r="W7" s="92">
        <v>16544330.134593412</v>
      </c>
      <c r="X7" s="92">
        <v>55362370.860773519</v>
      </c>
      <c r="Y7" s="87">
        <f>(X6-W6)/(X7-W7)</f>
        <v>1432.3894677983596</v>
      </c>
      <c r="AB7" s="89" t="s">
        <v>139</v>
      </c>
      <c r="AC7" s="117">
        <f>W7/Population!$S$4</f>
        <v>3.2343297907500589E-2</v>
      </c>
      <c r="AD7" s="117">
        <f>X7/Population!$S$4</f>
        <v>0.10823053209458534</v>
      </c>
      <c r="AE7" s="87">
        <f>(AD6-AC6)/(AD7-AC7)</f>
        <v>1432.3894677983594</v>
      </c>
      <c r="AF7" s="90"/>
      <c r="AG7" s="145">
        <f>SUM(AC7:AD7)</f>
        <v>0.14057383000208593</v>
      </c>
      <c r="AH7" s="86"/>
      <c r="AN7" s="89" t="s">
        <v>105</v>
      </c>
      <c r="AO7" s="92">
        <f>SUM($P$7:$P$35)</f>
        <v>16544330.134593412</v>
      </c>
      <c r="AP7" s="92">
        <f>SUM($P$36:$P$62)</f>
        <v>55362370.860773519</v>
      </c>
    </row>
    <row r="8" spans="2:42" x14ac:dyDescent="0.35">
      <c r="B8" s="43"/>
      <c r="C8" s="17"/>
      <c r="D8" s="17"/>
      <c r="E8" s="19"/>
      <c r="F8" s="20"/>
      <c r="G8" s="21"/>
      <c r="J8" s="27">
        <f>Nodes!$C$27</f>
        <v>0.94666666666666699</v>
      </c>
      <c r="K8" s="28">
        <f>I11*J8</f>
        <v>19299074.781484805</v>
      </c>
      <c r="L8" s="29"/>
      <c r="N8" s="69"/>
      <c r="Q8" s="18"/>
      <c r="T8" s="85"/>
      <c r="V8" s="89" t="s">
        <v>106</v>
      </c>
      <c r="W8" s="92">
        <v>2130855.9582806136</v>
      </c>
      <c r="X8" s="92">
        <v>14164635.468706619</v>
      </c>
      <c r="Y8" s="87">
        <f>(X6-W6)/(X8-W8)</f>
        <v>4620.5394280802966</v>
      </c>
      <c r="AB8" s="89" t="s">
        <v>140</v>
      </c>
      <c r="AC8" s="117">
        <f>W8/Population!$S$4</f>
        <v>4.1657116665325938E-3</v>
      </c>
      <c r="AD8" s="117">
        <f>X8/Population!$S$4</f>
        <v>2.7691119615510882E-2</v>
      </c>
      <c r="AE8" s="87">
        <f>(AD6-AC6)/(AD8-AC8)</f>
        <v>4620.5394280802966</v>
      </c>
      <c r="AF8" s="90"/>
      <c r="AG8" s="145">
        <f>SUM(AC8:AD8)</f>
        <v>3.1856831282043474E-2</v>
      </c>
      <c r="AH8" s="86"/>
      <c r="AN8" s="89" t="s">
        <v>106</v>
      </c>
      <c r="AO8" s="92">
        <f>SUM($Q$7:$Q$35)</f>
        <v>2130855.9582806136</v>
      </c>
      <c r="AP8" s="92">
        <f>SUM($Q$36:$Q$62)</f>
        <v>14164635.468706619</v>
      </c>
    </row>
    <row r="9" spans="2:42" x14ac:dyDescent="0.35">
      <c r="B9" s="43"/>
      <c r="C9" s="17"/>
      <c r="D9" s="17"/>
      <c r="E9" s="24"/>
      <c r="F9" s="24"/>
      <c r="G9" s="25"/>
      <c r="J9" s="72">
        <f>Parameters!$K$19</f>
        <v>0.44700000000000001</v>
      </c>
      <c r="K9" s="80" t="s">
        <v>62</v>
      </c>
      <c r="L9" s="31"/>
      <c r="N9" s="70"/>
      <c r="P9" s="18"/>
      <c r="Q9" s="18"/>
      <c r="T9" s="85"/>
      <c r="V9" s="89" t="s">
        <v>124</v>
      </c>
      <c r="W9" s="92">
        <v>417035.76606719749</v>
      </c>
      <c r="X9" s="92">
        <v>5325459.850226881</v>
      </c>
      <c r="Y9" s="87">
        <f>(X6-W6)/(X9-W9)</f>
        <v>11327.984653197964</v>
      </c>
      <c r="AB9" s="89" t="s">
        <v>141</v>
      </c>
      <c r="AC9" s="144">
        <f>W9/Population!$S$4</f>
        <v>8.1528305529824209E-4</v>
      </c>
      <c r="AD9" s="144">
        <f>X9/Population!$S$4</f>
        <v>1.0410994765522095E-2</v>
      </c>
      <c r="AE9" s="87">
        <f>(AD6-AC6)/(AD9-AC9)</f>
        <v>11327.984653197966</v>
      </c>
      <c r="AF9" s="90"/>
      <c r="AG9" s="145">
        <f>SUM(AC9:AD9)</f>
        <v>1.1226277820820337E-2</v>
      </c>
      <c r="AH9" s="86"/>
      <c r="AN9" s="89" t="s">
        <v>124</v>
      </c>
      <c r="AO9" s="92">
        <f>SUM($R$7:$R$35)</f>
        <v>417035.76606719749</v>
      </c>
      <c r="AP9" s="92">
        <f>SUM($R$36:$R$62)</f>
        <v>5325459.850226881</v>
      </c>
    </row>
    <row r="10" spans="2:42" ht="15" thickBot="1" x14ac:dyDescent="0.4">
      <c r="B10" s="43"/>
      <c r="C10" s="17"/>
      <c r="D10" s="17"/>
      <c r="E10" s="17"/>
      <c r="F10" s="17"/>
      <c r="G10" s="56"/>
      <c r="H10" s="22" t="s">
        <v>150</v>
      </c>
      <c r="I10" s="32"/>
      <c r="J10" s="78"/>
      <c r="K10" s="81"/>
      <c r="L10" s="29"/>
      <c r="T10" s="84"/>
      <c r="V10" s="89" t="s">
        <v>157</v>
      </c>
      <c r="W10" s="92">
        <v>72014234.018626422</v>
      </c>
      <c r="X10" s="92">
        <v>0</v>
      </c>
      <c r="Y10" s="87">
        <f>ABS((X6-W6)/(X10-W10))</f>
        <v>772.10503526798072</v>
      </c>
      <c r="AB10" s="89" t="s">
        <v>142</v>
      </c>
      <c r="AC10" s="117">
        <f>W10/Population!$S$4</f>
        <v>0.14078405142404024</v>
      </c>
      <c r="AD10" s="117">
        <f>X10/Population!$S$4</f>
        <v>0</v>
      </c>
      <c r="AE10" s="87">
        <f>ABS((AD6-AC6)/(AD10-AC10))</f>
        <v>772.10503526798084</v>
      </c>
      <c r="AF10" s="90"/>
      <c r="AG10" s="145">
        <f>SUM(AC10:AD10)</f>
        <v>0.14078405142404024</v>
      </c>
      <c r="AH10" s="86"/>
      <c r="AN10" s="89" t="s">
        <v>157</v>
      </c>
      <c r="AO10" s="92">
        <f>SUM($S$7:$S$35)</f>
        <v>72014234.018626422</v>
      </c>
      <c r="AP10" s="92">
        <f>SUM($S$36:$S$62)</f>
        <v>0</v>
      </c>
    </row>
    <row r="11" spans="2:42" x14ac:dyDescent="0.35">
      <c r="B11" s="43"/>
      <c r="C11" s="17"/>
      <c r="D11" s="17"/>
      <c r="E11" s="17"/>
      <c r="F11" s="39"/>
      <c r="G11" s="63"/>
      <c r="H11" s="140">
        <v>0.219</v>
      </c>
      <c r="I11" s="33">
        <f>E20*H11</f>
        <v>20386346.600159999</v>
      </c>
      <c r="J11" s="79">
        <f>Parameters!$K$15</f>
        <v>0.2</v>
      </c>
      <c r="K11" s="82" t="s">
        <v>111</v>
      </c>
      <c r="L11" s="23"/>
      <c r="N11" s="70"/>
      <c r="P11" s="77"/>
      <c r="Q11" s="77"/>
      <c r="T11" s="84"/>
    </row>
    <row r="12" spans="2:42" ht="15" thickBot="1" x14ac:dyDescent="0.4">
      <c r="B12" s="43"/>
      <c r="C12" s="17"/>
      <c r="D12" s="17"/>
      <c r="E12" s="17"/>
      <c r="F12" s="39"/>
      <c r="H12" s="68">
        <f>Parameters!$K$5</f>
        <v>43.394318918369329</v>
      </c>
      <c r="I12" s="83" t="s">
        <v>112</v>
      </c>
      <c r="J12" s="34">
        <f>Nodes!$C$28</f>
        <v>5.3333333333333011E-2</v>
      </c>
      <c r="K12" s="35">
        <f>I11*J12</f>
        <v>1087271.8186751935</v>
      </c>
      <c r="L12" s="29"/>
      <c r="M12" s="123">
        <f>D20*H11*J12</f>
        <v>2.1023999999999869E-3</v>
      </c>
      <c r="N12" s="124">
        <f>(H12*K12)</f>
        <v>47181420.050546773</v>
      </c>
      <c r="O12" s="125"/>
      <c r="P12" s="126">
        <f>K12*0</f>
        <v>0</v>
      </c>
      <c r="Q12" s="126">
        <f>(K12*H13)/480</f>
        <v>22198.466297951869</v>
      </c>
      <c r="R12" s="125">
        <f>K12*J11</f>
        <v>217454.3637350387</v>
      </c>
      <c r="S12" s="125">
        <f>(K12*Parameters!$K$17)</f>
        <v>750217.55488588347</v>
      </c>
      <c r="T12" s="84"/>
    </row>
    <row r="13" spans="2:42" x14ac:dyDescent="0.35">
      <c r="B13" s="43"/>
      <c r="C13" s="17"/>
      <c r="D13" s="17"/>
      <c r="E13" s="17"/>
      <c r="F13" s="39"/>
      <c r="G13" s="30"/>
      <c r="H13" s="76">
        <f>Parameters!$K$18</f>
        <v>9.8000000000000007</v>
      </c>
      <c r="I13" s="75" t="s">
        <v>113</v>
      </c>
      <c r="J13" s="22" t="s">
        <v>2</v>
      </c>
      <c r="K13" s="36"/>
      <c r="L13" s="31"/>
      <c r="N13" s="70"/>
      <c r="P13" s="77"/>
      <c r="Q13" s="77"/>
      <c r="T13" s="84"/>
    </row>
    <row r="14" spans="2:42" x14ac:dyDescent="0.35">
      <c r="B14" s="43"/>
      <c r="C14" s="17"/>
      <c r="D14" s="17"/>
      <c r="E14" s="17"/>
      <c r="F14" s="39"/>
      <c r="T14" s="84"/>
    </row>
    <row r="15" spans="2:42" ht="14.4" customHeight="1" x14ac:dyDescent="0.35">
      <c r="B15" s="43"/>
      <c r="C15" s="17"/>
      <c r="F15" s="39"/>
      <c r="G15" s="30"/>
      <c r="N15" s="70"/>
      <c r="P15" s="77"/>
      <c r="Q15" s="77"/>
      <c r="T15" s="84"/>
      <c r="V15" s="93" t="s">
        <v>120</v>
      </c>
      <c r="W15" s="94"/>
      <c r="X15" s="95"/>
      <c r="Y15" s="95"/>
      <c r="AB15" s="93" t="s">
        <v>120</v>
      </c>
      <c r="AC15" s="94"/>
      <c r="AE15" s="95"/>
      <c r="AF15" s="95"/>
    </row>
    <row r="16" spans="2:42" ht="46.5" thickBot="1" x14ac:dyDescent="0.4">
      <c r="B16" s="43"/>
      <c r="C16" s="17"/>
      <c r="F16" s="39"/>
      <c r="J16" s="22" t="s">
        <v>0</v>
      </c>
      <c r="K16" s="42"/>
      <c r="L16" s="17"/>
      <c r="M16" s="123">
        <f>D20*H19*J17</f>
        <v>1.8744000000000004E-2</v>
      </c>
      <c r="N16" s="124">
        <f>(K17*H18)</f>
        <v>841294270.76432109</v>
      </c>
      <c r="O16" s="125"/>
      <c r="P16" s="126">
        <f>J18*K17</f>
        <v>4333038.8447744651</v>
      </c>
      <c r="Q16" s="126">
        <f>(K17*H17)/480</f>
        <v>395821.96755024017</v>
      </c>
      <c r="R16" s="125">
        <v>0</v>
      </c>
      <c r="S16" s="125">
        <f>(K17*Parameters!$K$17)*2</f>
        <v>13377166.903330563</v>
      </c>
      <c r="T16" s="84"/>
      <c r="V16" s="74"/>
      <c r="W16" s="74" t="s">
        <v>3</v>
      </c>
      <c r="X16" s="74" t="s">
        <v>104</v>
      </c>
      <c r="Y16" s="74" t="s">
        <v>114</v>
      </c>
      <c r="AB16" s="74"/>
      <c r="AC16" s="74" t="s">
        <v>3</v>
      </c>
      <c r="AD16" s="74" t="s">
        <v>104</v>
      </c>
      <c r="AE16" s="74" t="s">
        <v>114</v>
      </c>
      <c r="AF16" s="74" t="s">
        <v>118</v>
      </c>
      <c r="AG16" s="74" t="s">
        <v>164</v>
      </c>
      <c r="AH16" s="74" t="s">
        <v>165</v>
      </c>
    </row>
    <row r="17" spans="2:34" ht="15" customHeight="1" x14ac:dyDescent="0.35">
      <c r="B17" s="43"/>
      <c r="C17" s="17"/>
      <c r="F17" s="39"/>
      <c r="H17" s="76">
        <f>Parameters!$K$18*2</f>
        <v>19.600000000000001</v>
      </c>
      <c r="I17" s="75" t="s">
        <v>113</v>
      </c>
      <c r="J17" s="27">
        <f>Nodes!$C$27</f>
        <v>0.94666666666666699</v>
      </c>
      <c r="K17" s="44">
        <f>I19*J17</f>
        <v>9693599.2053120025</v>
      </c>
      <c r="L17" s="45"/>
      <c r="N17" s="70"/>
      <c r="P17" s="77"/>
      <c r="Q17" s="77"/>
      <c r="T17" s="84"/>
      <c r="V17" s="88" t="s">
        <v>110</v>
      </c>
      <c r="W17" s="87">
        <v>5787053032.7154789</v>
      </c>
      <c r="X17" s="87">
        <v>56464992751.476501</v>
      </c>
      <c r="Y17" s="86"/>
      <c r="AB17" s="88" t="s">
        <v>110</v>
      </c>
      <c r="AC17" s="87">
        <f>W17/Population!$S$4</f>
        <v>11.313385233546137</v>
      </c>
      <c r="AD17" s="87">
        <f>X17/Population!$S$4</f>
        <v>110.38610007468564</v>
      </c>
      <c r="AE17" s="86"/>
      <c r="AF17" s="90" t="str">
        <f>IF(AH17&lt;0,"Yes","No")</f>
        <v>Yes</v>
      </c>
      <c r="AG17" s="87">
        <f>SUM(AC17:AD17)</f>
        <v>121.69948530823179</v>
      </c>
      <c r="AH17" s="118">
        <f>(AG17-$AG$6)/$AG$6</f>
        <v>-3.7248415152666157E-2</v>
      </c>
    </row>
    <row r="18" spans="2:34" x14ac:dyDescent="0.35">
      <c r="B18" s="43"/>
      <c r="C18" s="17"/>
      <c r="D18" s="22"/>
      <c r="E18" s="17"/>
      <c r="F18" s="39"/>
      <c r="H18" s="68">
        <f>Parameters!$K$5*2</f>
        <v>86.788637836738658</v>
      </c>
      <c r="I18" s="83" t="s">
        <v>112</v>
      </c>
      <c r="J18" s="72">
        <f>Parameters!$K$19</f>
        <v>0.44700000000000001</v>
      </c>
      <c r="K18" s="80" t="s">
        <v>62</v>
      </c>
      <c r="L18" s="29"/>
      <c r="T18" s="84"/>
      <c r="V18" s="89" t="s">
        <v>105</v>
      </c>
      <c r="W18" s="92">
        <v>21139977.394202698</v>
      </c>
      <c r="X18" s="92">
        <v>51986616.53999465</v>
      </c>
      <c r="Y18" s="87">
        <f>(X17-W17)/(X18-W18)</f>
        <v>1642.8998789540553</v>
      </c>
      <c r="AB18" s="89" t="s">
        <v>139</v>
      </c>
      <c r="AC18" s="117">
        <f>W18/Population!$S$4</f>
        <v>4.1327547326250762E-2</v>
      </c>
      <c r="AD18" s="117">
        <f>X18/Population!$S$4</f>
        <v>0.10163110940589112</v>
      </c>
      <c r="AE18" s="87">
        <f>(AD17-AC17)/(AD18-AC18)</f>
        <v>1642.8998789540551</v>
      </c>
      <c r="AF18" s="90" t="str">
        <f>IF(AH18&gt;0,"Yes","No")</f>
        <v>Yes</v>
      </c>
      <c r="AG18" s="146">
        <f>SUM(AC18:AD18)</f>
        <v>0.14295865673214189</v>
      </c>
      <c r="AH18" s="118">
        <f>(AG18-$AG$7)/$AG$7</f>
        <v>1.6964940985250095E-2</v>
      </c>
    </row>
    <row r="19" spans="2:34" ht="15" customHeight="1" thickBot="1" x14ac:dyDescent="0.4">
      <c r="B19" s="43"/>
      <c r="C19" s="17"/>
      <c r="D19" s="37" t="s">
        <v>3</v>
      </c>
      <c r="E19" s="17"/>
      <c r="F19" s="122"/>
      <c r="G19" s="45"/>
      <c r="H19" s="141">
        <v>0.11</v>
      </c>
      <c r="I19" s="46">
        <f>E20*H19</f>
        <v>10239717.4704</v>
      </c>
      <c r="J19" s="121"/>
      <c r="K19" s="81"/>
      <c r="L19" s="17"/>
      <c r="N19" s="70"/>
      <c r="P19" s="77"/>
      <c r="Q19" s="77"/>
      <c r="T19" s="84"/>
      <c r="V19" s="89" t="s">
        <v>106</v>
      </c>
      <c r="W19" s="92">
        <v>2722760.3911363403</v>
      </c>
      <c r="X19" s="92">
        <v>13300938.184029385</v>
      </c>
      <c r="Y19" s="87">
        <f>(X17-W17)/(X19-W19)</f>
        <v>4790.8005245297572</v>
      </c>
      <c r="AB19" s="89" t="s">
        <v>140</v>
      </c>
      <c r="AC19" s="117">
        <f>W19/Population!$S$4</f>
        <v>5.3228537961249826E-3</v>
      </c>
      <c r="AD19" s="117">
        <f>X19/Population!$S$4</f>
        <v>2.6002636712126069E-2</v>
      </c>
      <c r="AE19" s="87">
        <f>(AD17-AC17)/(AD19-AC19)</f>
        <v>4790.8005245297563</v>
      </c>
      <c r="AF19" s="90" t="str">
        <f>IF(AH19&lt;0,"Yes","No")</f>
        <v>Yes</v>
      </c>
      <c r="AG19" s="146">
        <f>SUM(AC19:AD19)</f>
        <v>3.132549050825105E-2</v>
      </c>
      <c r="AH19" s="118">
        <f>(AG19-$AG$8)/$AG$8</f>
        <v>-1.6679021497405532E-2</v>
      </c>
    </row>
    <row r="20" spans="2:34" x14ac:dyDescent="0.35">
      <c r="B20" s="43"/>
      <c r="C20" s="17"/>
      <c r="D20" s="27">
        <f>Nodes!$C$10</f>
        <v>0.18</v>
      </c>
      <c r="E20" s="50">
        <f>C38*D20</f>
        <v>93088340.640000001</v>
      </c>
      <c r="F20" s="58"/>
      <c r="G20" s="63"/>
      <c r="H20" s="47" t="s">
        <v>151</v>
      </c>
      <c r="I20" s="48"/>
      <c r="J20" s="79">
        <f>Parameters!$K$15</f>
        <v>0.2</v>
      </c>
      <c r="K20" s="82" t="s">
        <v>111</v>
      </c>
      <c r="L20" s="17"/>
      <c r="M20" s="26"/>
      <c r="N20" s="70"/>
      <c r="P20" s="77"/>
      <c r="Q20" s="77"/>
      <c r="T20" s="84"/>
      <c r="V20" s="89" t="s">
        <v>124</v>
      </c>
      <c r="W20" s="92">
        <v>532879.03441919689</v>
      </c>
      <c r="X20" s="92">
        <v>5000736.6886276808</v>
      </c>
      <c r="Y20" s="87">
        <f>(X17-W17)/(X20-W20)</f>
        <v>11342.782971392364</v>
      </c>
      <c r="AB20" s="89" t="s">
        <v>141</v>
      </c>
      <c r="AC20" s="144">
        <f>W20/Population!$S$4</f>
        <v>1.0417505706588651E-3</v>
      </c>
      <c r="AD20" s="144">
        <f>X20/Population!$S$4</f>
        <v>9.7761780115268454E-3</v>
      </c>
      <c r="AE20" s="87">
        <f>(AD17-AC17)/(AD20-AC20)</f>
        <v>11342.782971392362</v>
      </c>
      <c r="AF20" s="90" t="str">
        <f>IF(AH20&lt;0,"Yes","No")</f>
        <v>Yes</v>
      </c>
      <c r="AG20" s="144">
        <f>SUM(AC20:AD20)</f>
        <v>1.081792858218571E-2</v>
      </c>
      <c r="AH20" s="144">
        <f>(AG20-$AG$9)/$AG$9</f>
        <v>-3.6374410570643376E-2</v>
      </c>
    </row>
    <row r="21" spans="2:34" ht="15" thickBot="1" x14ac:dyDescent="0.4">
      <c r="B21" s="43"/>
      <c r="C21" s="38"/>
      <c r="D21" s="83"/>
      <c r="E21" s="83"/>
      <c r="F21" s="39"/>
      <c r="G21" s="30"/>
      <c r="H21" s="22"/>
      <c r="I21" s="17"/>
      <c r="J21" s="34">
        <f>Nodes!$C$28</f>
        <v>5.3333333333333011E-2</v>
      </c>
      <c r="K21" s="44">
        <f>I19*J21</f>
        <v>546118.26508799673</v>
      </c>
      <c r="L21" s="45"/>
      <c r="M21" s="123">
        <f>D20*H19*J21</f>
        <v>1.0559999999999936E-3</v>
      </c>
      <c r="N21" s="124">
        <f>(K21*H18)</f>
        <v>47396860.324750185</v>
      </c>
      <c r="O21" s="125"/>
      <c r="P21" s="126">
        <f>K21*0</f>
        <v>0</v>
      </c>
      <c r="Q21" s="126">
        <f>(K21*H17)/480</f>
        <v>22299.829157759865</v>
      </c>
      <c r="R21" s="125">
        <f>K21*J20</f>
        <v>109223.65301759935</v>
      </c>
      <c r="S21" s="125">
        <f>(K21*Parameters!$K$17)*2</f>
        <v>753643.20582143543</v>
      </c>
      <c r="T21" s="84"/>
      <c r="V21" s="89" t="s">
        <v>157</v>
      </c>
      <c r="W21" s="92">
        <v>92018187.912689358</v>
      </c>
      <c r="X21" s="92">
        <v>0</v>
      </c>
      <c r="Y21" s="87">
        <f>ABS((X17-W17)/(X21-W21))</f>
        <v>550.73829281278972</v>
      </c>
      <c r="AB21" s="89" t="s">
        <v>142</v>
      </c>
      <c r="AC21" s="117">
        <f>W21/Population!$S$4</f>
        <v>0.17989073237516262</v>
      </c>
      <c r="AD21" s="117">
        <f>X21/Population!$S$4</f>
        <v>0</v>
      </c>
      <c r="AE21" s="87">
        <f>ABS((AD17-AC17)/(AD21-AC21))</f>
        <v>550.73829281278972</v>
      </c>
      <c r="AF21" s="90" t="str">
        <f>IF(AH21&gt;0,"Yes","No")</f>
        <v>Yes</v>
      </c>
      <c r="AG21" s="146">
        <f>SUM(AC21:AD21)</f>
        <v>0.17989073237516262</v>
      </c>
      <c r="AH21" s="118">
        <f>(AG21-$AG$10)/$AG$10</f>
        <v>0.2777777777777784</v>
      </c>
    </row>
    <row r="22" spans="2:34" x14ac:dyDescent="0.35">
      <c r="B22" s="43"/>
      <c r="C22" s="17"/>
      <c r="D22" s="119"/>
      <c r="E22" s="75"/>
      <c r="F22" s="39"/>
      <c r="G22" s="30"/>
      <c r="H22" s="17"/>
      <c r="I22" s="17"/>
      <c r="J22" s="22" t="s">
        <v>2</v>
      </c>
      <c r="K22" s="49"/>
      <c r="L22" s="29"/>
      <c r="T22" s="84"/>
    </row>
    <row r="23" spans="2:34" x14ac:dyDescent="0.35">
      <c r="B23" s="43"/>
      <c r="D23" s="120"/>
      <c r="E23" s="45"/>
      <c r="F23" s="39"/>
      <c r="G23" s="30"/>
      <c r="M23" s="26"/>
      <c r="N23" s="70"/>
      <c r="P23" s="77"/>
      <c r="Q23" s="77"/>
      <c r="T23" s="84"/>
    </row>
    <row r="24" spans="2:34" x14ac:dyDescent="0.35">
      <c r="B24" s="43"/>
      <c r="C24" s="39"/>
      <c r="F24" s="39"/>
      <c r="G24" s="30"/>
      <c r="L24" s="17"/>
      <c r="M24" s="26"/>
      <c r="N24" s="70"/>
      <c r="P24" s="77"/>
      <c r="Q24" s="77"/>
      <c r="T24" s="84"/>
    </row>
    <row r="25" spans="2:34" ht="15" thickBot="1" x14ac:dyDescent="0.4">
      <c r="B25" s="43"/>
      <c r="C25" s="39"/>
      <c r="F25" s="39"/>
      <c r="G25" s="30"/>
      <c r="J25" s="37" t="s">
        <v>0</v>
      </c>
      <c r="K25" s="42"/>
      <c r="L25" s="17"/>
      <c r="M25" s="123">
        <f>D20*H29*J26</f>
        <v>1.5506400000000004E-2</v>
      </c>
      <c r="N25" s="124">
        <f>(H30*K26)</f>
        <v>2608686987.5763712</v>
      </c>
      <c r="O25" s="125"/>
      <c r="P25" s="126">
        <f>J27*K26</f>
        <v>3584604.8624952394</v>
      </c>
      <c r="Q25" s="126">
        <f>(K26*H31)/480</f>
        <v>1227365.5628334268</v>
      </c>
      <c r="R25" s="125">
        <v>0</v>
      </c>
      <c r="S25" s="125">
        <f>(K26*Parameters!$K$17)*DoctorVisits!$N$66</f>
        <v>41479946.368411303</v>
      </c>
      <c r="T25" s="84"/>
    </row>
    <row r="26" spans="2:34" ht="14.4" customHeight="1" x14ac:dyDescent="0.35">
      <c r="B26" s="43"/>
      <c r="C26" s="39"/>
      <c r="F26" s="39"/>
      <c r="J26" s="27">
        <f>Nodes!$C$27</f>
        <v>0.94666666666666699</v>
      </c>
      <c r="K26" s="44">
        <f>I29*J26</f>
        <v>8019250.2516672025</v>
      </c>
      <c r="L26" s="23"/>
      <c r="T26" s="84"/>
      <c r="V26" s="93" t="s">
        <v>121</v>
      </c>
      <c r="W26" s="94"/>
      <c r="X26" s="95"/>
      <c r="Y26" s="95"/>
      <c r="AB26" s="93" t="s">
        <v>121</v>
      </c>
      <c r="AC26" s="94"/>
      <c r="AF26" s="95"/>
    </row>
    <row r="27" spans="2:34" ht="22.25" customHeight="1" x14ac:dyDescent="0.35">
      <c r="B27" s="43"/>
      <c r="C27" s="38"/>
      <c r="F27" s="39"/>
      <c r="J27" s="72">
        <f>Parameters!$K$19</f>
        <v>0.44700000000000001</v>
      </c>
      <c r="K27" s="80" t="s">
        <v>62</v>
      </c>
      <c r="L27" s="29"/>
      <c r="M27" s="26"/>
      <c r="N27" s="70"/>
      <c r="P27" s="77"/>
      <c r="Q27" s="77"/>
      <c r="T27" s="84"/>
      <c r="V27" s="74"/>
      <c r="W27" s="74" t="s">
        <v>3</v>
      </c>
      <c r="X27" s="74" t="s">
        <v>104</v>
      </c>
      <c r="Y27" s="74" t="s">
        <v>114</v>
      </c>
      <c r="AB27" s="74"/>
      <c r="AC27" s="74" t="s">
        <v>3</v>
      </c>
      <c r="AD27" s="74" t="s">
        <v>104</v>
      </c>
      <c r="AE27" s="74" t="s">
        <v>114</v>
      </c>
      <c r="AF27" s="74" t="s">
        <v>118</v>
      </c>
      <c r="AG27" s="74" t="s">
        <v>164</v>
      </c>
      <c r="AH27" s="74" t="s">
        <v>165</v>
      </c>
    </row>
    <row r="28" spans="2:34" ht="15" thickBot="1" x14ac:dyDescent="0.4">
      <c r="B28" s="43"/>
      <c r="C28" s="38"/>
      <c r="D28" s="17"/>
      <c r="E28" s="17"/>
      <c r="F28" s="39"/>
      <c r="G28" s="64"/>
      <c r="H28" s="22" t="s">
        <v>166</v>
      </c>
      <c r="I28" s="32"/>
      <c r="J28" s="121"/>
      <c r="K28" s="81"/>
      <c r="L28" s="17"/>
      <c r="M28" s="26"/>
      <c r="N28" s="70"/>
      <c r="P28" s="77"/>
      <c r="Q28" s="77"/>
      <c r="T28" s="84"/>
      <c r="V28" s="88" t="s">
        <v>110</v>
      </c>
      <c r="W28" s="87">
        <v>7045108039.8275385</v>
      </c>
      <c r="X28" s="87">
        <v>52798434780.601395</v>
      </c>
      <c r="Y28" s="86"/>
      <c r="AB28" s="88" t="s">
        <v>110</v>
      </c>
      <c r="AC28" s="87">
        <f>W28/Population!$S$4</f>
        <v>13.772816806056165</v>
      </c>
      <c r="AD28" s="87">
        <f>X28/Population!$S$4</f>
        <v>103.21817149840734</v>
      </c>
      <c r="AE28" s="86"/>
      <c r="AF28" s="90" t="str">
        <f>IF(AH28&lt;0,"Yes","No")</f>
        <v>Yes</v>
      </c>
      <c r="AG28" s="87">
        <f>SUM(AC28:AD28)</f>
        <v>116.99098830446351</v>
      </c>
      <c r="AH28" s="118">
        <f>(AG28-$AG$6)/$AG$6</f>
        <v>-7.4496830305332426E-2</v>
      </c>
    </row>
    <row r="29" spans="2:34" x14ac:dyDescent="0.35">
      <c r="B29" s="43"/>
      <c r="C29" s="17"/>
      <c r="D29" s="43"/>
      <c r="E29" s="17"/>
      <c r="G29" s="57"/>
      <c r="H29" s="140">
        <v>9.0999999999999998E-2</v>
      </c>
      <c r="I29" s="41">
        <f>E20*H29</f>
        <v>8471038.9982399996</v>
      </c>
      <c r="J29" s="79">
        <f>Parameters!$K$15</f>
        <v>0.2</v>
      </c>
      <c r="K29" s="82" t="s">
        <v>111</v>
      </c>
      <c r="L29" s="17"/>
      <c r="M29" s="26"/>
      <c r="N29" s="70"/>
      <c r="P29" s="77"/>
      <c r="Q29" s="77"/>
      <c r="T29" s="84"/>
      <c r="V29" s="89" t="s">
        <v>105</v>
      </c>
      <c r="W29" s="92">
        <v>25735624.653811984</v>
      </c>
      <c r="X29" s="92">
        <v>48610862.219215758</v>
      </c>
      <c r="Y29" s="87">
        <f>(X28-W28)/(X29-W29)</f>
        <v>2000.1246592503423</v>
      </c>
      <c r="AB29" s="89" t="s">
        <v>139</v>
      </c>
      <c r="AC29" s="117">
        <f>W29/Population!$S$4</f>
        <v>5.0311796745000935E-2</v>
      </c>
      <c r="AD29" s="117">
        <f>X29/Population!$S$4</f>
        <v>9.5031686717196862E-2</v>
      </c>
      <c r="AE29" s="87">
        <f>(AD28-AC28)/(AD29-AC29)</f>
        <v>2000.1246592503421</v>
      </c>
      <c r="AF29" s="90" t="str">
        <f>IF(AH29&gt;0,"Yes","No")</f>
        <v>Yes</v>
      </c>
      <c r="AG29" s="146">
        <f>SUM(AC29:AD29)</f>
        <v>0.1453434834621978</v>
      </c>
      <c r="AH29" s="118">
        <f>(AG29-$AG$7)/$AG$7</f>
        <v>3.3929881970499794E-2</v>
      </c>
    </row>
    <row r="30" spans="2:34" ht="15" thickBot="1" x14ac:dyDescent="0.4">
      <c r="B30" s="43"/>
      <c r="C30" s="17"/>
      <c r="D30" s="43"/>
      <c r="E30" s="51"/>
      <c r="F30" s="17"/>
      <c r="G30" s="17"/>
      <c r="H30" s="83">
        <f>Parameters!$K$5*DoctorVisits!$N$66</f>
        <v>325.30310262284496</v>
      </c>
      <c r="I30" s="83" t="s">
        <v>112</v>
      </c>
      <c r="J30" s="34">
        <f>Nodes!$C$28</f>
        <v>5.3333333333333011E-2</v>
      </c>
      <c r="K30" s="35">
        <f>I29*J30</f>
        <v>451788.74657279724</v>
      </c>
      <c r="L30" s="31"/>
      <c r="M30" s="123">
        <f>D20*H29*J30</f>
        <v>8.7359999999999467E-4</v>
      </c>
      <c r="N30" s="124">
        <f>(H30*K30)</f>
        <v>146968280.99021715</v>
      </c>
      <c r="O30" s="125"/>
      <c r="P30" s="126">
        <f>K30*0</f>
        <v>0</v>
      </c>
      <c r="Q30" s="126">
        <f>(K30*H31)/480</f>
        <v>69147.355652586979</v>
      </c>
      <c r="R30" s="125">
        <f>K30*J29</f>
        <v>90357.749314559449</v>
      </c>
      <c r="S30" s="125">
        <f>(K30*Parameters!$K$17)*DoctorVisits!$N$66</f>
        <v>2336898.3869527346</v>
      </c>
      <c r="T30" s="84"/>
      <c r="V30" s="89" t="s">
        <v>106</v>
      </c>
      <c r="W30" s="92">
        <v>3314664.8239920666</v>
      </c>
      <c r="X30" s="92">
        <v>12437240.899352152</v>
      </c>
      <c r="Y30" s="87">
        <f>(X28-W28)/(X30-W30)</f>
        <v>5015.3954719383237</v>
      </c>
      <c r="AB30" s="89" t="s">
        <v>140</v>
      </c>
      <c r="AC30" s="117">
        <f>W30/Population!$S$4</f>
        <v>6.4799959257173696E-3</v>
      </c>
      <c r="AD30" s="117">
        <f>X30/Population!$S$4</f>
        <v>2.431415380874126E-2</v>
      </c>
      <c r="AE30" s="87">
        <f>(AD28-AC28)/(AD30-AC30)</f>
        <v>5015.3954719383237</v>
      </c>
      <c r="AF30" s="90" t="str">
        <f>IF(AH30&lt;0,"Yes","No")</f>
        <v>Yes</v>
      </c>
      <c r="AG30" s="146">
        <f>SUM(AC30:AD30)</f>
        <v>3.0794149734458629E-2</v>
      </c>
      <c r="AH30" s="118">
        <f>(AG30-$AG$8)/$AG$8</f>
        <v>-3.335804299481096E-2</v>
      </c>
    </row>
    <row r="31" spans="2:34" x14ac:dyDescent="0.35">
      <c r="B31" s="43"/>
      <c r="C31" s="39"/>
      <c r="D31" s="52"/>
      <c r="E31" s="45"/>
      <c r="F31" s="68"/>
      <c r="H31" s="131">
        <f>Parameters!$K$18*DoctorVisits!$N$66</f>
        <v>73.465155927458866</v>
      </c>
      <c r="I31" s="75" t="s">
        <v>113</v>
      </c>
      <c r="J31" s="22" t="s">
        <v>2</v>
      </c>
      <c r="K31" s="36"/>
      <c r="L31" s="29"/>
      <c r="M31" s="26"/>
      <c r="N31" s="70"/>
      <c r="P31" s="77"/>
      <c r="Q31" s="77"/>
      <c r="T31" s="84"/>
      <c r="V31" s="89" t="s">
        <v>124</v>
      </c>
      <c r="W31" s="92">
        <v>648722.30277119623</v>
      </c>
      <c r="X31" s="92">
        <v>4676013.5270284805</v>
      </c>
      <c r="Y31" s="87">
        <f>(X28-W28)/(X31-W31)</f>
        <v>11360.819020286201</v>
      </c>
      <c r="AB31" s="89" t="s">
        <v>141</v>
      </c>
      <c r="AC31" s="118">
        <f>W31/Population!$S$4</f>
        <v>1.268218086019488E-3</v>
      </c>
      <c r="AD31" s="118">
        <f>X31/Population!$S$4</f>
        <v>9.1413612575315956E-3</v>
      </c>
      <c r="AE31" s="87">
        <f>(AD28-AC28)/(AD31-AC31)</f>
        <v>11360.819020286201</v>
      </c>
      <c r="AF31" s="90" t="str">
        <f>IF(AH31&lt;0,"Yes","No")</f>
        <v>Yes</v>
      </c>
      <c r="AG31" s="144">
        <f>SUM(AC31:AD31)</f>
        <v>1.0409579343551084E-2</v>
      </c>
      <c r="AH31" s="144">
        <f>(AG31-$AG$9)/$AG$9</f>
        <v>-7.2748821141286751E-2</v>
      </c>
    </row>
    <row r="32" spans="2:34" ht="15" customHeight="1" x14ac:dyDescent="0.35">
      <c r="B32" s="43"/>
      <c r="C32" s="39"/>
      <c r="F32" s="40"/>
      <c r="G32" s="44"/>
      <c r="J32" s="22"/>
      <c r="K32" s="53"/>
      <c r="L32" s="17"/>
      <c r="M32" s="26"/>
      <c r="N32" s="70"/>
      <c r="P32" s="77"/>
      <c r="Q32" s="77"/>
      <c r="T32" s="84"/>
      <c r="V32" s="89" t="s">
        <v>157</v>
      </c>
      <c r="W32" s="92">
        <v>112022141.80675228</v>
      </c>
      <c r="X32" s="92">
        <v>0</v>
      </c>
      <c r="Y32" s="87">
        <f>ABS((X28-W28)/(X32-W32))</f>
        <v>408.43110123445268</v>
      </c>
      <c r="AB32" s="89" t="s">
        <v>142</v>
      </c>
      <c r="AC32" s="117">
        <f>W32/Population!$S$4</f>
        <v>0.21899741332628497</v>
      </c>
      <c r="AD32" s="117">
        <f>X32/Population!$S$4</f>
        <v>0</v>
      </c>
      <c r="AE32" s="87">
        <f>ABS((AD28-AC28)/(AD32-AC32))</f>
        <v>408.43110123445268</v>
      </c>
      <c r="AF32" s="90" t="str">
        <f>IF(AH32&gt;0,"Yes","No")</f>
        <v>Yes</v>
      </c>
      <c r="AG32" s="146">
        <f>SUM(AC32:AD32)</f>
        <v>0.21899741332628497</v>
      </c>
      <c r="AH32" s="118">
        <f>(AG32-$AG$10)/$AG$10</f>
        <v>0.55555555555555669</v>
      </c>
    </row>
    <row r="33" spans="2:34" x14ac:dyDescent="0.35">
      <c r="B33" s="43"/>
      <c r="D33" s="30"/>
      <c r="F33" s="22"/>
      <c r="G33" s="17"/>
      <c r="J33" s="52"/>
      <c r="K33" s="36"/>
      <c r="L33" s="17"/>
      <c r="N33" s="70"/>
      <c r="P33" s="77"/>
      <c r="Q33" s="77"/>
      <c r="T33" s="84"/>
    </row>
    <row r="34" spans="2:34" x14ac:dyDescent="0.35">
      <c r="B34" s="43"/>
      <c r="D34" s="30"/>
      <c r="F34" s="22"/>
      <c r="G34" s="17"/>
      <c r="H34" s="68"/>
      <c r="I34" s="83"/>
      <c r="J34" s="52"/>
      <c r="K34" s="54"/>
      <c r="L34" s="23"/>
      <c r="M34" s="26"/>
      <c r="N34" s="70"/>
      <c r="P34" s="77"/>
      <c r="Q34" s="77"/>
      <c r="T34" s="84"/>
    </row>
    <row r="35" spans="2:34" x14ac:dyDescent="0.35">
      <c r="B35" s="43"/>
      <c r="C35" s="22" t="s">
        <v>162</v>
      </c>
      <c r="D35" s="43"/>
      <c r="E35" s="17"/>
      <c r="F35" s="17"/>
      <c r="M35" s="26"/>
      <c r="N35" s="70"/>
      <c r="P35" s="77"/>
      <c r="Q35" s="77"/>
      <c r="T35" s="84"/>
    </row>
    <row r="36" spans="2:34" ht="15" thickBot="1" x14ac:dyDescent="0.4">
      <c r="B36" s="43"/>
      <c r="C36" s="22" t="s">
        <v>161</v>
      </c>
      <c r="D36" s="43"/>
      <c r="E36" s="17"/>
      <c r="F36" s="17"/>
      <c r="G36" s="45"/>
      <c r="H36" s="22"/>
      <c r="I36" s="17"/>
      <c r="J36" s="37" t="s">
        <v>0</v>
      </c>
      <c r="K36" s="42"/>
      <c r="M36" s="123">
        <f>D48*H40*J37</f>
        <v>0.1562346</v>
      </c>
      <c r="N36" s="124">
        <f>(K37*H41)</f>
        <v>10218609551.253847</v>
      </c>
      <c r="O36" s="125"/>
      <c r="P36" s="126">
        <f>J38*K37</f>
        <v>28867521.948831905</v>
      </c>
      <c r="Q36" s="126">
        <f>(K37*H42)/480</f>
        <v>2407103.7176287533</v>
      </c>
      <c r="R36" s="125">
        <v>0</v>
      </c>
      <c r="S36" s="125">
        <v>0</v>
      </c>
      <c r="T36" s="84"/>
    </row>
    <row r="37" spans="2:34" ht="14.4" customHeight="1" x14ac:dyDescent="0.35">
      <c r="B37" s="43"/>
      <c r="C37" s="67" t="s">
        <v>52</v>
      </c>
      <c r="D37" s="43"/>
      <c r="E37" s="17"/>
      <c r="G37" s="17"/>
      <c r="H37" s="17"/>
      <c r="I37" s="17"/>
      <c r="J37" s="27">
        <f>Nodes!$C$31</f>
        <v>0.87</v>
      </c>
      <c r="K37" s="44">
        <f>I40*J37</f>
        <v>80797887.025300801</v>
      </c>
      <c r="L37" s="45"/>
      <c r="N37" s="70"/>
      <c r="P37" s="77"/>
      <c r="Q37" s="77"/>
      <c r="T37" s="84"/>
      <c r="V37" s="93" t="s">
        <v>122</v>
      </c>
      <c r="W37" s="94"/>
      <c r="X37" s="95"/>
      <c r="Y37" s="95"/>
      <c r="AB37" s="93" t="s">
        <v>122</v>
      </c>
      <c r="AC37" s="94"/>
      <c r="AD37" s="95"/>
      <c r="AE37" s="95"/>
      <c r="AF37" s="95"/>
    </row>
    <row r="38" spans="2:34" ht="46" x14ac:dyDescent="0.35">
      <c r="B38" s="43"/>
      <c r="C38" s="55">
        <f>Population!S3</f>
        <v>517157448</v>
      </c>
      <c r="D38" s="17"/>
      <c r="E38" s="17"/>
      <c r="G38" s="45"/>
      <c r="H38" s="22"/>
      <c r="I38" s="45"/>
      <c r="J38" s="73">
        <f>Parameters!$E$15</f>
        <v>0.3572806543789</v>
      </c>
      <c r="K38" s="80" t="s">
        <v>62</v>
      </c>
      <c r="L38" s="29"/>
      <c r="N38" s="70"/>
      <c r="P38" s="77"/>
      <c r="Q38" s="77"/>
      <c r="T38" s="84"/>
      <c r="V38" s="74"/>
      <c r="W38" s="74" t="s">
        <v>3</v>
      </c>
      <c r="X38" s="74" t="s">
        <v>104</v>
      </c>
      <c r="Y38" s="74" t="s">
        <v>114</v>
      </c>
      <c r="AB38" s="74"/>
      <c r="AC38" s="74" t="s">
        <v>3</v>
      </c>
      <c r="AD38" s="74" t="s">
        <v>104</v>
      </c>
      <c r="AE38" s="74" t="s">
        <v>114</v>
      </c>
      <c r="AF38" s="74" t="s">
        <v>118</v>
      </c>
      <c r="AG38" s="74" t="s">
        <v>164</v>
      </c>
      <c r="AH38" s="74" t="s">
        <v>165</v>
      </c>
    </row>
    <row r="39" spans="2:34" ht="15" thickBot="1" x14ac:dyDescent="0.4">
      <c r="B39" s="43"/>
      <c r="C39" s="17"/>
      <c r="D39" s="43"/>
      <c r="E39" s="17"/>
      <c r="F39" s="22"/>
      <c r="G39" s="56"/>
      <c r="H39" s="37" t="s">
        <v>155</v>
      </c>
      <c r="I39" s="56"/>
      <c r="J39" s="121"/>
      <c r="K39" s="81"/>
      <c r="L39" s="17"/>
      <c r="T39" s="84"/>
      <c r="V39" s="88" t="s">
        <v>110</v>
      </c>
      <c r="W39" s="87">
        <v>9561218054.0516586</v>
      </c>
      <c r="X39" s="87">
        <v>45465318838.851196</v>
      </c>
      <c r="Y39" s="86"/>
      <c r="AB39" s="88" t="s">
        <v>110</v>
      </c>
      <c r="AC39" s="87">
        <f>W39/Population!$S$4</f>
        <v>18.691679951076221</v>
      </c>
      <c r="AD39" s="87">
        <f>X39/Population!$S$4</f>
        <v>88.882314345850759</v>
      </c>
      <c r="AE39" s="86"/>
      <c r="AF39" s="90" t="str">
        <f>IF(AH39&lt;0,"Yes","No")</f>
        <v>Yes</v>
      </c>
      <c r="AG39" s="87">
        <f>SUM(AC39:AD39)</f>
        <v>107.57399429692698</v>
      </c>
      <c r="AH39" s="118">
        <f>(AG39-$AG$6)/$AG$6</f>
        <v>-0.14899366061066485</v>
      </c>
    </row>
    <row r="40" spans="2:34" x14ac:dyDescent="0.35">
      <c r="B40" s="43"/>
      <c r="C40" s="17"/>
      <c r="D40" s="43"/>
      <c r="E40" s="17"/>
      <c r="F40" s="22"/>
      <c r="G40" s="63"/>
      <c r="H40" s="142">
        <v>0.219</v>
      </c>
      <c r="I40" s="33">
        <f>E48*H40</f>
        <v>92871134.511840001</v>
      </c>
      <c r="J40" s="79">
        <f>Parameters!$E$13</f>
        <v>0.23</v>
      </c>
      <c r="K40" s="82" t="s">
        <v>111</v>
      </c>
      <c r="L40" s="17"/>
      <c r="T40" s="84"/>
      <c r="V40" s="89" t="s">
        <v>105</v>
      </c>
      <c r="W40" s="92">
        <v>34926919.173030548</v>
      </c>
      <c r="X40" s="92">
        <v>41859353.577658013</v>
      </c>
      <c r="Y40" s="87">
        <f>(X39-W39)/(X40-W40)</f>
        <v>5179.1475676759692</v>
      </c>
      <c r="AB40" s="89" t="s">
        <v>139</v>
      </c>
      <c r="AC40" s="117">
        <f>W40/Population!$S$4</f>
        <v>6.828029558250126E-2</v>
      </c>
      <c r="AD40" s="117">
        <f>X40/Population!$S$4</f>
        <v>8.1832841339808407E-2</v>
      </c>
      <c r="AE40" s="87">
        <f>(AD39-AC39)/(AD40-AC40)</f>
        <v>5179.1475676759655</v>
      </c>
      <c r="AF40" s="90" t="str">
        <f>IF(AH40&gt;0,"Yes","No")</f>
        <v>Yes</v>
      </c>
      <c r="AG40" s="146">
        <f>SUM(AC40:AD40)</f>
        <v>0.15011313692230965</v>
      </c>
      <c r="AH40" s="118">
        <f>(AG40-$AG$7)/$AG$7</f>
        <v>6.7859763940999379E-2</v>
      </c>
    </row>
    <row r="41" spans="2:34" ht="15" thickBot="1" x14ac:dyDescent="0.4">
      <c r="B41" s="43"/>
      <c r="C41" s="17"/>
      <c r="D41" s="43"/>
      <c r="E41" s="17"/>
      <c r="F41" s="22"/>
      <c r="G41" s="30"/>
      <c r="H41" s="68">
        <f>Parameters!$E$5</f>
        <v>126.47124729949959</v>
      </c>
      <c r="I41" s="83" t="s">
        <v>112</v>
      </c>
      <c r="J41" s="34">
        <f>Nodes!$C$32</f>
        <v>0.13</v>
      </c>
      <c r="K41" s="35">
        <f>I40*J41</f>
        <v>12073247.4865392</v>
      </c>
      <c r="M41" s="123">
        <f>D48*H40*J41</f>
        <v>2.3345400000000002E-2</v>
      </c>
      <c r="N41" s="124">
        <f>(K41*H41)</f>
        <v>1526918668.578161</v>
      </c>
      <c r="O41" s="125"/>
      <c r="P41" s="126">
        <f>K41*0</f>
        <v>0</v>
      </c>
      <c r="Q41" s="126">
        <f>(K41*H42)/480</f>
        <v>359682.16470314696</v>
      </c>
      <c r="R41" s="125">
        <f>(K41*J40)</f>
        <v>2776846.9219040163</v>
      </c>
      <c r="S41" s="125">
        <v>0</v>
      </c>
      <c r="T41" s="84"/>
      <c r="V41" s="89" t="s">
        <v>106</v>
      </c>
      <c r="W41" s="92">
        <v>4498473.6897035176</v>
      </c>
      <c r="X41" s="92">
        <v>10709846.329997689</v>
      </c>
      <c r="Y41" s="87">
        <f>(X39-W39)/(X41-W41)</f>
        <v>5780.3810629366972</v>
      </c>
      <c r="AB41" s="89" t="s">
        <v>140</v>
      </c>
      <c r="AC41" s="117">
        <f>W41/Population!$S$4</f>
        <v>8.794280184902142E-3</v>
      </c>
      <c r="AD41" s="117">
        <f>X41/Population!$S$4</f>
        <v>2.0937188001971644E-2</v>
      </c>
      <c r="AE41" s="87">
        <f>(AD39-AC39)/(AD41-AC41)</f>
        <v>5780.3810629366972</v>
      </c>
      <c r="AF41" s="90" t="str">
        <f>IF(AH41&lt;0,"Yes","No")</f>
        <v>Yes</v>
      </c>
      <c r="AG41" s="146">
        <f>SUM(AC41:AD41)</f>
        <v>2.9731468186873784E-2</v>
      </c>
      <c r="AH41" s="118">
        <f>(AG41-$AG$8)/$AG$8</f>
        <v>-6.671608598962192E-2</v>
      </c>
    </row>
    <row r="42" spans="2:34" x14ac:dyDescent="0.35">
      <c r="B42" s="30"/>
      <c r="C42" s="39"/>
      <c r="F42" s="22"/>
      <c r="G42" s="30"/>
      <c r="H42" s="76">
        <f>Parameters!$E$14</f>
        <v>14.3</v>
      </c>
      <c r="I42" s="75" t="s">
        <v>113</v>
      </c>
      <c r="J42" s="22" t="s">
        <v>2</v>
      </c>
      <c r="K42" s="36"/>
      <c r="M42" s="26"/>
      <c r="N42" s="69"/>
      <c r="P42" s="77"/>
      <c r="Q42" s="77"/>
      <c r="T42" s="84"/>
      <c r="V42" s="89" t="s">
        <v>124</v>
      </c>
      <c r="W42" s="92">
        <v>880408.83947519481</v>
      </c>
      <c r="X42" s="92">
        <v>4026567.2038300801</v>
      </c>
      <c r="Y42" s="87">
        <f>(X39-W39)/(X42-W42)</f>
        <v>11412.044985269398</v>
      </c>
      <c r="AB42" s="89" t="s">
        <v>141</v>
      </c>
      <c r="AC42" s="118">
        <f>W42/Population!$S$4</f>
        <v>1.7211531167407334E-3</v>
      </c>
      <c r="AD42" s="118">
        <f>X42/Population!$S$4</f>
        <v>7.8717277495410961E-3</v>
      </c>
      <c r="AE42" s="87">
        <f>(AD39-AC39)/(AD42-AC42)</f>
        <v>11412.044985269395</v>
      </c>
      <c r="AF42" s="90" t="str">
        <f>IF(AH42&lt;0,"Yes","No")</f>
        <v>Yes</v>
      </c>
      <c r="AG42" s="144">
        <f>SUM(AC42:AD42)</f>
        <v>9.5928808662818291E-3</v>
      </c>
      <c r="AH42" s="144">
        <f>(AG42-$AG$9)/$AG$9</f>
        <v>-0.14549764228257364</v>
      </c>
    </row>
    <row r="43" spans="2:34" x14ac:dyDescent="0.35">
      <c r="B43" s="30"/>
      <c r="D43" s="30"/>
      <c r="F43" s="39"/>
      <c r="G43" s="30"/>
      <c r="J43" s="17"/>
      <c r="K43" s="17"/>
      <c r="M43" s="18"/>
      <c r="N43" s="69"/>
      <c r="P43" s="77"/>
      <c r="Q43" s="77"/>
      <c r="T43" s="84"/>
      <c r="V43" s="89" t="s">
        <v>157</v>
      </c>
      <c r="W43" s="92">
        <v>152030049.59487808</v>
      </c>
      <c r="X43" s="92">
        <v>0</v>
      </c>
      <c r="Y43" s="87">
        <f>ABS((X39-W39)/(X43-W43))</f>
        <v>236.16450090278175</v>
      </c>
      <c r="AB43" s="89" t="s">
        <v>142</v>
      </c>
      <c r="AC43" s="117">
        <f>W43/Population!$S$4</f>
        <v>0.29721077522852957</v>
      </c>
      <c r="AD43" s="117">
        <f>X43/Population!$S$4</f>
        <v>0</v>
      </c>
      <c r="AE43" s="87">
        <f>ABS((AD39-AC39)/(AD43-AC43))</f>
        <v>236.16450090278175</v>
      </c>
      <c r="AF43" s="90" t="str">
        <f>IF(AH43&gt;0,"Yes","No")</f>
        <v>Yes</v>
      </c>
      <c r="AG43" s="146">
        <f>SUM(AC43:AD43)</f>
        <v>0.29721077522852957</v>
      </c>
      <c r="AH43" s="118">
        <f>(AG43-$AG$10)/$AG$10</f>
        <v>1.1111111111111123</v>
      </c>
    </row>
    <row r="44" spans="2:34" x14ac:dyDescent="0.35">
      <c r="B44" s="30"/>
      <c r="D44" s="30"/>
      <c r="F44" s="39"/>
      <c r="T44" s="84"/>
    </row>
    <row r="45" spans="2:34" ht="14.4" customHeight="1" thickBot="1" x14ac:dyDescent="0.4">
      <c r="B45" s="30"/>
      <c r="D45" s="30"/>
      <c r="F45" s="39"/>
      <c r="J45" s="134" t="s">
        <v>47</v>
      </c>
      <c r="K45" s="65"/>
      <c r="M45" s="123">
        <f>D48*H48*J46</f>
        <v>7.8474000000000002E-2</v>
      </c>
      <c r="N45" s="127">
        <f>(H47*K46)</f>
        <v>10265269868.839481</v>
      </c>
      <c r="O45" s="125"/>
      <c r="P45" s="126">
        <f>J47*K46</f>
        <v>14499668.558774017</v>
      </c>
      <c r="Q45" s="126">
        <f>(K46*H46)/480</f>
        <v>2418095.0588051402</v>
      </c>
      <c r="R45" s="125">
        <v>0</v>
      </c>
      <c r="S45" s="125">
        <v>0</v>
      </c>
      <c r="T45" s="84"/>
    </row>
    <row r="46" spans="2:34" x14ac:dyDescent="0.35">
      <c r="B46" s="30"/>
      <c r="C46" s="39"/>
      <c r="D46" s="76"/>
      <c r="E46" s="83"/>
      <c r="F46" s="39"/>
      <c r="H46" s="76">
        <f>Parameters!$E$14*2</f>
        <v>28.6</v>
      </c>
      <c r="I46" s="75" t="s">
        <v>113</v>
      </c>
      <c r="J46" s="27">
        <f>Nodes!$C$31</f>
        <v>0.87</v>
      </c>
      <c r="K46" s="44">
        <f>I48*J46</f>
        <v>40583413.574352004</v>
      </c>
      <c r="N46" s="69"/>
      <c r="P46" s="77"/>
      <c r="Q46" s="77"/>
      <c r="T46" s="84"/>
    </row>
    <row r="47" spans="2:34" x14ac:dyDescent="0.35">
      <c r="B47" s="30"/>
      <c r="C47" s="39"/>
      <c r="D47" s="68"/>
      <c r="F47" s="39"/>
      <c r="H47" s="68">
        <f>Parameters!$E$5*2</f>
        <v>252.94249459899919</v>
      </c>
      <c r="I47" s="83" t="s">
        <v>112</v>
      </c>
      <c r="J47" s="73">
        <f>Parameters!$E$15</f>
        <v>0.3572806543789</v>
      </c>
      <c r="K47" s="80" t="s">
        <v>62</v>
      </c>
      <c r="N47" s="69"/>
      <c r="P47" s="77"/>
      <c r="Q47" s="77"/>
      <c r="T47" s="84"/>
    </row>
    <row r="48" spans="2:34" ht="15" customHeight="1" thickBot="1" x14ac:dyDescent="0.4">
      <c r="B48" s="30"/>
      <c r="D48" s="34">
        <f>1-Nodes!$C$10</f>
        <v>0.82000000000000006</v>
      </c>
      <c r="E48" s="60">
        <f>C38*D48</f>
        <v>424069107.36000001</v>
      </c>
      <c r="F48" s="66"/>
      <c r="G48" s="64"/>
      <c r="H48" s="143">
        <v>0.11</v>
      </c>
      <c r="I48" s="33">
        <f>H48*E48</f>
        <v>46647601.809600003</v>
      </c>
      <c r="J48" s="121"/>
      <c r="K48" s="81"/>
      <c r="T48" s="84"/>
      <c r="V48" s="93" t="s">
        <v>123</v>
      </c>
      <c r="W48" s="94"/>
      <c r="X48" s="95"/>
      <c r="Y48" s="95"/>
      <c r="AB48" s="93" t="s">
        <v>123</v>
      </c>
      <c r="AC48" s="94"/>
      <c r="AD48" s="95"/>
      <c r="AE48" s="95"/>
      <c r="AF48" s="95"/>
    </row>
    <row r="49" spans="2:34" ht="46" x14ac:dyDescent="0.35">
      <c r="B49" s="30"/>
      <c r="D49" s="47" t="s">
        <v>154</v>
      </c>
      <c r="E49" s="13"/>
      <c r="F49" s="58"/>
      <c r="H49" s="134" t="s">
        <v>156</v>
      </c>
      <c r="I49" s="57"/>
      <c r="J49" s="79">
        <f>Parameters!$E$13</f>
        <v>0.23</v>
      </c>
      <c r="K49" s="82" t="s">
        <v>111</v>
      </c>
      <c r="T49" s="84"/>
      <c r="V49" s="74"/>
      <c r="W49" s="74" t="s">
        <v>3</v>
      </c>
      <c r="X49" s="74" t="s">
        <v>104</v>
      </c>
      <c r="Y49" s="74" t="s">
        <v>114</v>
      </c>
      <c r="AB49" s="74"/>
      <c r="AC49" s="74" t="s">
        <v>3</v>
      </c>
      <c r="AD49" s="74" t="s">
        <v>104</v>
      </c>
      <c r="AE49" s="74" t="s">
        <v>114</v>
      </c>
      <c r="AF49" s="74" t="s">
        <v>118</v>
      </c>
      <c r="AG49" s="74" t="s">
        <v>164</v>
      </c>
      <c r="AH49" s="74" t="s">
        <v>165</v>
      </c>
    </row>
    <row r="50" spans="2:34" ht="15" thickBot="1" x14ac:dyDescent="0.4">
      <c r="B50" s="30"/>
      <c r="D50" s="22"/>
      <c r="E50" s="17"/>
      <c r="F50" s="39"/>
      <c r="J50" s="34">
        <f>Nodes!$C$32</f>
        <v>0.13</v>
      </c>
      <c r="K50" s="35">
        <f>I48*J50</f>
        <v>6064188.2352480004</v>
      </c>
      <c r="M50" s="123">
        <f>D48*H48*J50</f>
        <v>1.1726E-2</v>
      </c>
      <c r="N50" s="127">
        <f>(H47*K50)</f>
        <v>1533890899.9415317</v>
      </c>
      <c r="O50" s="125"/>
      <c r="P50" s="126">
        <f>K50*0</f>
        <v>0</v>
      </c>
      <c r="Q50" s="126">
        <f>(K50*H46)/480</f>
        <v>361324.54901686008</v>
      </c>
      <c r="R50" s="125">
        <f>K50*J49</f>
        <v>1394763.2941070402</v>
      </c>
      <c r="S50" s="125">
        <v>0</v>
      </c>
      <c r="T50" s="84"/>
      <c r="V50" s="88" t="s">
        <v>110</v>
      </c>
      <c r="W50" s="87">
        <v>12077328068.275778</v>
      </c>
      <c r="X50" s="87">
        <v>38132202897.101013</v>
      </c>
      <c r="Y50" s="86"/>
      <c r="AB50" s="88" t="s">
        <v>110</v>
      </c>
      <c r="AC50" s="87">
        <f>W50/Population!$S$4</f>
        <v>23.610543096096279</v>
      </c>
      <c r="AD50" s="87">
        <f>X50/Population!$S$4</f>
        <v>74.546457193294202</v>
      </c>
      <c r="AE50" s="86"/>
      <c r="AF50" s="90" t="str">
        <f>IF(AH50&lt;0,"Yes","No")</f>
        <v>Yes</v>
      </c>
      <c r="AG50" s="87">
        <f>SUM(AC50:AD50)</f>
        <v>98.157000289390481</v>
      </c>
      <c r="AH50" s="118">
        <f>(AG50-$AG$6)/$AG$6</f>
        <v>-0.22349049091599707</v>
      </c>
    </row>
    <row r="51" spans="2:34" x14ac:dyDescent="0.35">
      <c r="B51" s="30"/>
      <c r="F51" s="39"/>
      <c r="J51" s="135" t="s">
        <v>2</v>
      </c>
      <c r="N51" s="69"/>
      <c r="P51" s="77"/>
      <c r="Q51" s="77"/>
      <c r="T51" s="84"/>
      <c r="V51" s="89" t="s">
        <v>105</v>
      </c>
      <c r="W51" s="92">
        <v>44118213.692249104</v>
      </c>
      <c r="X51" s="92">
        <v>35107844.936100282</v>
      </c>
      <c r="Y51" s="87">
        <f>(X50-W50)/(X51-W51)</f>
        <v>-2891.6546629731397</v>
      </c>
      <c r="AB51" s="89" t="s">
        <v>139</v>
      </c>
      <c r="AC51" s="117">
        <f>W51/Population!$S$4</f>
        <v>8.6248794420001579E-2</v>
      </c>
      <c r="AD51" s="117">
        <f>X51/Population!$S$4</f>
        <v>6.863399596241998E-2</v>
      </c>
      <c r="AE51" s="87">
        <f>(AD50-AC50)/(AD51-AC51)</f>
        <v>-2891.6546629731411</v>
      </c>
      <c r="AF51" s="90" t="str">
        <f>IF(AH51&gt;0,"Yes","No")</f>
        <v>Yes</v>
      </c>
      <c r="AG51" s="146">
        <f>SUM(AC51:AD51)</f>
        <v>0.15488279038242156</v>
      </c>
      <c r="AH51" s="118">
        <f>(AG51-$AG$7)/$AG$7</f>
        <v>0.10178964591149937</v>
      </c>
    </row>
    <row r="52" spans="2:34" x14ac:dyDescent="0.35">
      <c r="B52" s="30"/>
      <c r="F52" s="39"/>
      <c r="T52" s="84"/>
      <c r="V52" s="89" t="s">
        <v>106</v>
      </c>
      <c r="W52" s="92">
        <v>5682282.5554149691</v>
      </c>
      <c r="X52" s="92">
        <v>8982451.7606432214</v>
      </c>
      <c r="Y52" s="87">
        <f>(X50-W50)/(X52-W52)</f>
        <v>7895.0118035002934</v>
      </c>
      <c r="AB52" s="89" t="s">
        <v>140</v>
      </c>
      <c r="AC52" s="117">
        <f>W52/Population!$S$4</f>
        <v>1.1108564444086916E-2</v>
      </c>
      <c r="AD52" s="117">
        <f>X52/Population!$S$4</f>
        <v>1.7560222195202022E-2</v>
      </c>
      <c r="AE52" s="87">
        <f>(AD50-AC50)/(AD52-AC52)</f>
        <v>7895.0118035002943</v>
      </c>
      <c r="AF52" s="90" t="str">
        <f>IF(AH52&lt;0,"Yes","No")</f>
        <v>Yes</v>
      </c>
      <c r="AG52" s="146">
        <f>SUM(AC52:AD52)</f>
        <v>2.8668786639288936E-2</v>
      </c>
      <c r="AH52" s="118">
        <f>(AG52-$AG$8)/$AG$8</f>
        <v>-0.10007412898443298</v>
      </c>
    </row>
    <row r="53" spans="2:34" x14ac:dyDescent="0.35">
      <c r="B53" s="30"/>
      <c r="F53" s="68"/>
      <c r="G53" s="30"/>
      <c r="N53" s="69"/>
      <c r="P53" s="77"/>
      <c r="Q53" s="77"/>
      <c r="T53" s="84"/>
      <c r="V53" s="89" t="s">
        <v>124</v>
      </c>
      <c r="W53" s="92">
        <v>1112095.3761791931</v>
      </c>
      <c r="X53" s="92">
        <v>3377120.8806316811</v>
      </c>
      <c r="Y53" s="87">
        <f>(X50-W50)/(X53-W53)</f>
        <v>11503.12646705642</v>
      </c>
      <c r="AB53" s="89" t="s">
        <v>141</v>
      </c>
      <c r="AC53" s="118">
        <f>W53/Population!$S$4</f>
        <v>2.1740881474619786E-3</v>
      </c>
      <c r="AD53" s="118">
        <f>X53/Population!$S$4</f>
        <v>6.6020942415505983E-3</v>
      </c>
      <c r="AE53" s="87">
        <f>(AD50-AC50)/(AD53-AC53)</f>
        <v>11503.12646705642</v>
      </c>
      <c r="AF53" s="90" t="str">
        <f>IF(AH53&lt;0,"Yes","No")</f>
        <v>Yes</v>
      </c>
      <c r="AG53" s="144">
        <f>SUM(AC53:AD53)</f>
        <v>8.7761823890125761E-3</v>
      </c>
      <c r="AH53" s="144">
        <f>(AG53-$AG$9)/$AG$9</f>
        <v>-0.21824646342386039</v>
      </c>
    </row>
    <row r="54" spans="2:34" ht="15" thickBot="1" x14ac:dyDescent="0.4">
      <c r="B54" s="30"/>
      <c r="F54" s="132"/>
      <c r="J54" s="22" t="s">
        <v>0</v>
      </c>
      <c r="K54" s="59"/>
      <c r="M54" s="123">
        <f>D48*H58*J55</f>
        <v>6.4919400000000002E-2</v>
      </c>
      <c r="N54" s="127">
        <f>(H59*K55)</f>
        <v>31830569708.352558</v>
      </c>
      <c r="O54" s="125"/>
      <c r="P54" s="126">
        <f>J56*K55</f>
        <v>11995180.353167595</v>
      </c>
      <c r="Q54" s="126">
        <f>(K55*H60)/480</f>
        <v>7498034.0813408652</v>
      </c>
      <c r="R54" s="125">
        <v>0</v>
      </c>
      <c r="S54" s="125">
        <v>0</v>
      </c>
      <c r="T54" s="84"/>
      <c r="V54" s="89" t="s">
        <v>157</v>
      </c>
      <c r="W54" s="92">
        <v>192037957.38300386</v>
      </c>
      <c r="X54" s="92">
        <v>0</v>
      </c>
      <c r="Y54" s="87">
        <f>ABS((X50-W50)/(X54-W54))</f>
        <v>135.67565070930709</v>
      </c>
      <c r="AB54" s="89" t="s">
        <v>142</v>
      </c>
      <c r="AC54" s="117">
        <f>W54/Population!$S$4</f>
        <v>0.37542413713077416</v>
      </c>
      <c r="AD54" s="117">
        <f>X54/Population!$S$4</f>
        <v>0</v>
      </c>
      <c r="AE54" s="87">
        <f>ABS((AD50-AC50)/(AD54-AC54))</f>
        <v>135.67565070930709</v>
      </c>
      <c r="AF54" s="90" t="str">
        <f>IF(AH54&gt;0,"Yes","No")</f>
        <v>Yes</v>
      </c>
      <c r="AG54" s="146">
        <f>SUM(AC54:AD54)</f>
        <v>0.37542413713077416</v>
      </c>
      <c r="AH54" s="118">
        <f>(AG54-$AG$10)/$AG$10</f>
        <v>1.6666666666666681</v>
      </c>
    </row>
    <row r="55" spans="2:34" x14ac:dyDescent="0.35">
      <c r="B55" s="30"/>
      <c r="F55" s="22"/>
      <c r="G55" s="30"/>
      <c r="J55" s="27">
        <f>Nodes!$C$31</f>
        <v>0.87</v>
      </c>
      <c r="K55" s="33">
        <f>I58*J55</f>
        <v>33573551.2296912</v>
      </c>
      <c r="N55" s="69"/>
      <c r="P55" s="77"/>
      <c r="Q55" s="77"/>
      <c r="T55" s="84"/>
    </row>
    <row r="56" spans="2:34" x14ac:dyDescent="0.35">
      <c r="B56" s="30"/>
      <c r="F56" s="133"/>
      <c r="J56" s="72">
        <f>Parameters!$E$15</f>
        <v>0.3572806543789</v>
      </c>
      <c r="K56" s="80" t="s">
        <v>62</v>
      </c>
      <c r="N56" s="69"/>
      <c r="P56" s="77"/>
      <c r="Q56" s="77"/>
      <c r="T56" s="84"/>
    </row>
    <row r="57" spans="2:34" ht="15" thickBot="1" x14ac:dyDescent="0.4">
      <c r="B57" s="30"/>
      <c r="F57" s="39"/>
      <c r="G57" s="65"/>
      <c r="H57" s="37" t="s">
        <v>167</v>
      </c>
      <c r="I57" s="61"/>
      <c r="J57" s="78"/>
      <c r="K57" s="81"/>
      <c r="M57" s="26"/>
      <c r="N57" s="69"/>
      <c r="P57" s="77"/>
      <c r="Q57" s="77"/>
      <c r="T57" s="84"/>
    </row>
    <row r="58" spans="2:34" ht="14.4" customHeight="1" x14ac:dyDescent="0.35">
      <c r="B58" s="30"/>
      <c r="G58" s="57"/>
      <c r="H58" s="140">
        <v>9.0999999999999998E-2</v>
      </c>
      <c r="I58" s="33">
        <f>E48*H58</f>
        <v>38590288.769759998</v>
      </c>
      <c r="J58" s="79">
        <f>Parameters!$E$13</f>
        <v>0.23</v>
      </c>
      <c r="K58" s="82" t="s">
        <v>111</v>
      </c>
      <c r="N58" s="69"/>
      <c r="T58" s="39"/>
    </row>
    <row r="59" spans="2:34" ht="16" thickBot="1" x14ac:dyDescent="0.4">
      <c r="B59" s="30"/>
      <c r="G59" s="83"/>
      <c r="H59" s="68">
        <f>Parameters!$E$5*DoctorVisits!N$66</f>
        <v>948.08468399979051</v>
      </c>
      <c r="I59" s="83" t="s">
        <v>112</v>
      </c>
      <c r="J59" s="34">
        <f>Nodes!$C$32</f>
        <v>0.13</v>
      </c>
      <c r="K59" s="62">
        <f>I58*J59</f>
        <v>5016737.5400687996</v>
      </c>
      <c r="M59" s="123">
        <f>D48*H58*J59</f>
        <v>9.7006000000000019E-3</v>
      </c>
      <c r="N59" s="127">
        <f>(H59*K59)</f>
        <v>4756292025.386014</v>
      </c>
      <c r="O59" s="125"/>
      <c r="P59" s="126">
        <f>K59*0</f>
        <v>0</v>
      </c>
      <c r="Q59" s="126">
        <f>(K59*H60)/480</f>
        <v>1120395.8972118534</v>
      </c>
      <c r="R59" s="125">
        <f>K59*J58</f>
        <v>1153849.6342158241</v>
      </c>
      <c r="S59" s="125">
        <v>0</v>
      </c>
      <c r="T59" s="39"/>
      <c r="V59" s="93" t="s">
        <v>163</v>
      </c>
      <c r="W59" s="94"/>
      <c r="X59" s="95"/>
      <c r="Y59" s="95"/>
      <c r="AB59" s="93" t="s">
        <v>163</v>
      </c>
      <c r="AC59" s="94"/>
      <c r="AD59" s="95"/>
      <c r="AE59" s="95"/>
      <c r="AF59" s="95"/>
    </row>
    <row r="60" spans="2:34" ht="46" x14ac:dyDescent="0.35">
      <c r="B60" s="30"/>
      <c r="G60" s="44"/>
      <c r="H60" s="76">
        <f>Parameters!$E$14*DoctorVisits!$N$66</f>
        <v>107.19915609823079</v>
      </c>
      <c r="I60" s="75" t="s">
        <v>113</v>
      </c>
      <c r="J60" s="22" t="s">
        <v>2</v>
      </c>
      <c r="K60" s="29"/>
      <c r="T60" s="39"/>
      <c r="V60" s="74"/>
      <c r="W60" s="74" t="s">
        <v>3</v>
      </c>
      <c r="X60" s="74" t="s">
        <v>104</v>
      </c>
      <c r="Y60" s="74" t="s">
        <v>114</v>
      </c>
      <c r="AB60" s="74"/>
      <c r="AC60" s="74" t="s">
        <v>3</v>
      </c>
      <c r="AD60" s="74" t="s">
        <v>104</v>
      </c>
      <c r="AE60" s="74" t="s">
        <v>114</v>
      </c>
      <c r="AF60" s="74" t="s">
        <v>118</v>
      </c>
      <c r="AG60" s="74" t="s">
        <v>164</v>
      </c>
      <c r="AH60" s="74" t="s">
        <v>165</v>
      </c>
    </row>
    <row r="61" spans="2:34" x14ac:dyDescent="0.35">
      <c r="B61" s="30"/>
      <c r="G61" s="17"/>
      <c r="H61" s="68"/>
      <c r="I61" s="83"/>
      <c r="T61" s="39"/>
      <c r="V61" s="88" t="s">
        <v>110</v>
      </c>
      <c r="W61" s="87">
        <v>12580550071.120604</v>
      </c>
      <c r="X61" s="87">
        <v>36665579708.750977</v>
      </c>
      <c r="Y61" s="86"/>
      <c r="AB61" s="88" t="s">
        <v>110</v>
      </c>
      <c r="AC61" s="87">
        <f>W61/Population!$S$4</f>
        <v>24.594315725100294</v>
      </c>
      <c r="AD61" s="87">
        <f>X61/Population!$S$4</f>
        <v>71.679285762782897</v>
      </c>
      <c r="AE61" s="86"/>
      <c r="AF61" s="90" t="str">
        <f>IF(AH61&lt;0,"Yes","No")</f>
        <v>Yes</v>
      </c>
      <c r="AG61" s="87">
        <f>SUM(AC61:AD61)</f>
        <v>96.273601487883184</v>
      </c>
      <c r="AH61" s="118">
        <f>(AG61-$AG$6)/$AG$6</f>
        <v>-0.23838985697706347</v>
      </c>
    </row>
    <row r="62" spans="2:34" ht="15" thickBot="1" x14ac:dyDescent="0.4">
      <c r="B62" s="64"/>
      <c r="C62" s="65"/>
      <c r="D62" s="65"/>
      <c r="E62" s="65"/>
      <c r="F62" s="65"/>
      <c r="G62" s="65"/>
      <c r="H62" s="37"/>
      <c r="I62" s="136"/>
      <c r="J62" s="65"/>
      <c r="K62" s="65"/>
      <c r="L62" s="65"/>
      <c r="M62" s="65"/>
      <c r="N62" s="65"/>
      <c r="O62" s="65"/>
      <c r="P62" s="65"/>
      <c r="Q62" s="65"/>
      <c r="R62" s="65"/>
      <c r="S62" s="65"/>
      <c r="T62" s="66"/>
      <c r="V62" s="89" t="s">
        <v>105</v>
      </c>
      <c r="W62" s="92">
        <v>45956472.59609282</v>
      </c>
      <c r="X62" s="92">
        <v>33757543.207788728</v>
      </c>
      <c r="Y62" s="87">
        <f>(X61-W61)/(X62-W62)</f>
        <v>-1974.3560169077016</v>
      </c>
      <c r="AB62" s="89" t="s">
        <v>139</v>
      </c>
      <c r="AC62" s="117">
        <f>W62/Population!$S$4</f>
        <v>8.9842494187501648E-2</v>
      </c>
      <c r="AD62" s="117">
        <f>X62/Population!$S$4</f>
        <v>6.5994226886942273E-2</v>
      </c>
      <c r="AE62" s="87">
        <f>(AD61-AC61)/(AD62-AC62)</f>
        <v>-1974.356016907702</v>
      </c>
      <c r="AF62" s="90" t="str">
        <f>IF(AH62&gt;0,"Yes","No")</f>
        <v>Yes</v>
      </c>
      <c r="AG62" s="146">
        <f>SUM(AC62:AD62)</f>
        <v>0.15583672107444391</v>
      </c>
      <c r="AH62" s="118">
        <f>(AG62-$AG$7)/$AG$7</f>
        <v>0.10857562230559914</v>
      </c>
    </row>
    <row r="63" spans="2:34" x14ac:dyDescent="0.35">
      <c r="V63" s="89" t="s">
        <v>106</v>
      </c>
      <c r="W63" s="92">
        <v>5919044.3285572603</v>
      </c>
      <c r="X63" s="92">
        <v>8636972.846772328</v>
      </c>
      <c r="Y63" s="87">
        <f>(X61-W61)/(X63-W63)</f>
        <v>8861.539027320563</v>
      </c>
      <c r="AB63" s="89" t="s">
        <v>140</v>
      </c>
      <c r="AC63" s="117">
        <f>W63/Population!$S$4</f>
        <v>1.1571421295923872E-2</v>
      </c>
      <c r="AD63" s="117">
        <f>X63/Population!$S$4</f>
        <v>1.6884829033848098E-2</v>
      </c>
      <c r="AE63" s="87">
        <f>(AD61-AC61)/(AD63-AC63)</f>
        <v>8861.539027320563</v>
      </c>
      <c r="AF63" s="90" t="str">
        <f>IF(AH63&lt;0,"Yes","No")</f>
        <v>Yes</v>
      </c>
      <c r="AG63" s="146">
        <f>SUM(AC63:AD63)</f>
        <v>2.8456250329771969E-2</v>
      </c>
      <c r="AH63" s="118">
        <f>(AG63-$AG$8)/$AG$8</f>
        <v>-0.1067457375833951</v>
      </c>
    </row>
    <row r="64" spans="2:34" x14ac:dyDescent="0.35">
      <c r="V64" s="89" t="s">
        <v>124</v>
      </c>
      <c r="W64" s="92">
        <v>1158432.6835199932</v>
      </c>
      <c r="X64" s="92">
        <v>3247231.6159920003</v>
      </c>
      <c r="Y64" s="87">
        <f>(X61-W61)/(X64-W64)</f>
        <v>11530.56393471378</v>
      </c>
      <c r="AB64" s="89" t="s">
        <v>141</v>
      </c>
      <c r="AC64" s="118">
        <f>W64/Population!$S$4</f>
        <v>2.2646751536062283E-3</v>
      </c>
      <c r="AD64" s="118">
        <f>X64/Population!$S$4</f>
        <v>6.3481675399524968E-3</v>
      </c>
      <c r="AE64" s="87">
        <f>(AD61-AC61)/(AD64-AC64)</f>
        <v>11530.563934713782</v>
      </c>
      <c r="AF64" s="90" t="str">
        <f>IF(AH64&lt;0,"Yes","No")</f>
        <v>Yes</v>
      </c>
      <c r="AG64" s="144">
        <f>SUM(AC64:AD64)</f>
        <v>8.6128426935587251E-3</v>
      </c>
      <c r="AH64" s="144">
        <f>(AG64-$AG$9)/$AG$9</f>
        <v>-0.23279622765211777</v>
      </c>
    </row>
    <row r="65" spans="22:34" x14ac:dyDescent="0.35">
      <c r="V65" s="89" t="s">
        <v>157</v>
      </c>
      <c r="W65" s="92">
        <v>200039538.94062901</v>
      </c>
      <c r="X65" s="92">
        <v>0</v>
      </c>
      <c r="Y65" s="87">
        <f>ABS((X61-W61)/(X65-W65))</f>
        <v>120.40134547989895</v>
      </c>
      <c r="AB65" s="89" t="s">
        <v>142</v>
      </c>
      <c r="AC65" s="117">
        <f>W65/Population!$S$4</f>
        <v>0.39106680951122302</v>
      </c>
      <c r="AD65" s="117">
        <f>X65/Population!$S$4</f>
        <v>0</v>
      </c>
      <c r="AE65" s="87">
        <f>ABS((AD61-AC61)/(AD65-AC65))</f>
        <v>120.40134547989896</v>
      </c>
      <c r="AF65" s="90" t="str">
        <f>IF(AH65&gt;0,"Yes","No")</f>
        <v>Yes</v>
      </c>
      <c r="AG65" s="146">
        <f>SUM(AC65:AD65)</f>
        <v>0.39106680951122302</v>
      </c>
      <c r="AH65" s="118">
        <f>(AG65-$AG$10)/$AG$10</f>
        <v>1.777777777777779</v>
      </c>
    </row>
  </sheetData>
  <mergeCells count="2">
    <mergeCell ref="B3:S3"/>
    <mergeCell ref="B2:S2"/>
  </mergeCells>
  <conditionalFormatting sqref="AF6:AF10">
    <cfRule type="containsText" dxfId="5" priority="11" operator="containsText" text="No">
      <formula>NOT(ISERROR(SEARCH("No",AF6)))</formula>
    </cfRule>
  </conditionalFormatting>
  <conditionalFormatting sqref="AF17:AF21">
    <cfRule type="containsText" dxfId="4" priority="10" operator="containsText" text="No">
      <formula>NOT(ISERROR(SEARCH("No",AF17)))</formula>
    </cfRule>
  </conditionalFormatting>
  <conditionalFormatting sqref="AF28:AF32">
    <cfRule type="containsText" dxfId="3" priority="4" operator="containsText" text="No">
      <formula>NOT(ISERROR(SEARCH("No",AF28)))</formula>
    </cfRule>
  </conditionalFormatting>
  <conditionalFormatting sqref="AF39:AF43">
    <cfRule type="containsText" dxfId="2" priority="3" operator="containsText" text="No">
      <formula>NOT(ISERROR(SEARCH("No",AF39)))</formula>
    </cfRule>
  </conditionalFormatting>
  <conditionalFormatting sqref="AF50:AF54">
    <cfRule type="containsText" dxfId="1" priority="2" operator="containsText" text="No">
      <formula>NOT(ISERROR(SEARCH("No",AF50)))</formula>
    </cfRule>
  </conditionalFormatting>
  <conditionalFormatting sqref="AF61:AF65">
    <cfRule type="containsText" dxfId="0" priority="1" operator="containsText" text="No">
      <formula>NOT(ISERROR(SEARCH("No",AF61)))</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workbookViewId="0">
      <selection activeCell="E9" sqref="E9"/>
    </sheetView>
  </sheetViews>
  <sheetFormatPr defaultRowHeight="14.5" x14ac:dyDescent="0.35"/>
  <cols>
    <col min="2" max="2" width="28.36328125" customWidth="1"/>
    <col min="3" max="3" width="12.90625" customWidth="1"/>
    <col min="5" max="5" width="12.54296875" customWidth="1"/>
  </cols>
  <sheetData>
    <row r="2" spans="1:5" ht="23" x14ac:dyDescent="0.35">
      <c r="A2" s="3" t="s">
        <v>4</v>
      </c>
      <c r="B2" s="3" t="s">
        <v>12</v>
      </c>
      <c r="C2" s="3"/>
      <c r="D2" s="3"/>
      <c r="E2" s="3"/>
    </row>
    <row r="4" spans="1:5" x14ac:dyDescent="0.35">
      <c r="A4" s="1"/>
      <c r="B4" s="151" t="s">
        <v>5</v>
      </c>
      <c r="C4" s="151"/>
      <c r="E4" s="2" t="s">
        <v>43</v>
      </c>
    </row>
    <row r="5" spans="1:5" x14ac:dyDescent="0.35">
      <c r="A5" s="1"/>
      <c r="B5" s="4" t="s">
        <v>6</v>
      </c>
      <c r="C5" s="5">
        <v>0.05</v>
      </c>
    </row>
    <row r="6" spans="1:5" x14ac:dyDescent="0.35">
      <c r="A6" s="1"/>
      <c r="B6" s="4" t="s">
        <v>7</v>
      </c>
      <c r="C6" s="5">
        <v>0.06</v>
      </c>
    </row>
    <row r="7" spans="1:5" x14ac:dyDescent="0.35">
      <c r="A7" s="1"/>
      <c r="B7" s="4" t="s">
        <v>8</v>
      </c>
      <c r="C7" s="5">
        <v>7.0000000000000007E-2</v>
      </c>
    </row>
    <row r="8" spans="1:5" x14ac:dyDescent="0.35">
      <c r="A8" s="1"/>
      <c r="B8" s="4" t="s">
        <v>9</v>
      </c>
      <c r="C8" s="5">
        <v>0.81</v>
      </c>
    </row>
    <row r="9" spans="1:5" x14ac:dyDescent="0.35">
      <c r="A9" s="1"/>
      <c r="B9" s="4" t="s">
        <v>10</v>
      </c>
      <c r="C9" s="5">
        <v>0.01</v>
      </c>
    </row>
    <row r="10" spans="1:5" x14ac:dyDescent="0.35">
      <c r="B10" s="4" t="s">
        <v>11</v>
      </c>
      <c r="C10" s="5">
        <v>0.18</v>
      </c>
    </row>
    <row r="14" spans="1:5" x14ac:dyDescent="0.35">
      <c r="A14" s="3" t="s">
        <v>42</v>
      </c>
      <c r="B14" s="3" t="s">
        <v>143</v>
      </c>
      <c r="C14" s="3"/>
      <c r="D14" s="3"/>
      <c r="E14" s="3"/>
    </row>
    <row r="16" spans="1:5" x14ac:dyDescent="0.35">
      <c r="B16" s="8"/>
      <c r="C16" s="8" t="s">
        <v>45</v>
      </c>
    </row>
    <row r="17" spans="1:5" x14ac:dyDescent="0.35">
      <c r="B17" s="9" t="s">
        <v>44</v>
      </c>
      <c r="C17" s="6">
        <v>0.3</v>
      </c>
    </row>
    <row r="18" spans="1:5" x14ac:dyDescent="0.35">
      <c r="B18" s="9" t="s">
        <v>146</v>
      </c>
      <c r="C18" s="6">
        <v>0.4</v>
      </c>
    </row>
    <row r="19" spans="1:5" x14ac:dyDescent="0.35">
      <c r="B19" s="9" t="s">
        <v>144</v>
      </c>
      <c r="C19" s="6">
        <v>0.3</v>
      </c>
    </row>
    <row r="20" spans="1:5" x14ac:dyDescent="0.35">
      <c r="B20" s="9" t="s">
        <v>147</v>
      </c>
      <c r="C20" s="6">
        <v>0.8</v>
      </c>
    </row>
    <row r="21" spans="1:5" x14ac:dyDescent="0.35">
      <c r="B21" s="9" t="s">
        <v>145</v>
      </c>
      <c r="C21" s="6">
        <v>0.2</v>
      </c>
    </row>
    <row r="24" spans="1:5" x14ac:dyDescent="0.35">
      <c r="A24" s="3" t="s">
        <v>42</v>
      </c>
      <c r="B24" s="3" t="s">
        <v>46</v>
      </c>
      <c r="C24" s="3"/>
      <c r="D24" s="3"/>
      <c r="E24" s="3"/>
    </row>
    <row r="26" spans="1:5" x14ac:dyDescent="0.35">
      <c r="B26" s="8" t="s">
        <v>1</v>
      </c>
      <c r="C26" s="8" t="s">
        <v>71</v>
      </c>
    </row>
    <row r="27" spans="1:5" x14ac:dyDescent="0.35">
      <c r="B27" s="9" t="s">
        <v>47</v>
      </c>
      <c r="C27" s="7">
        <f>Parameters!$K$11</f>
        <v>0.94666666666666699</v>
      </c>
    </row>
    <row r="28" spans="1:5" x14ac:dyDescent="0.35">
      <c r="B28" s="9" t="s">
        <v>2</v>
      </c>
      <c r="C28" s="7">
        <f>1-C27</f>
        <v>5.3333333333333011E-2</v>
      </c>
    </row>
    <row r="30" spans="1:5" x14ac:dyDescent="0.35">
      <c r="B30" s="8" t="s">
        <v>101</v>
      </c>
      <c r="C30" s="8" t="s">
        <v>71</v>
      </c>
    </row>
    <row r="31" spans="1:5" x14ac:dyDescent="0.35">
      <c r="B31" s="9" t="s">
        <v>47</v>
      </c>
      <c r="C31" s="7">
        <f>Parameters!$E$11</f>
        <v>0.87</v>
      </c>
    </row>
    <row r="32" spans="1:5" x14ac:dyDescent="0.35">
      <c r="B32" s="9" t="s">
        <v>2</v>
      </c>
      <c r="C32" s="7">
        <f>1-C31</f>
        <v>0.13</v>
      </c>
    </row>
  </sheetData>
  <mergeCells count="1">
    <mergeCell ref="B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
  <sheetViews>
    <sheetView topLeftCell="H1" workbookViewId="0">
      <selection activeCell="S3" sqref="S3"/>
    </sheetView>
  </sheetViews>
  <sheetFormatPr defaultColWidth="8.90625" defaultRowHeight="12" x14ac:dyDescent="0.3"/>
  <cols>
    <col min="1" max="1" width="34.6328125" style="96" bestFit="1" customWidth="1"/>
    <col min="2" max="2" width="6" style="96" bestFit="1" customWidth="1"/>
    <col min="3" max="3" width="10.36328125" style="96" bestFit="1" customWidth="1"/>
    <col min="4" max="4" width="12.6328125" style="96" bestFit="1" customWidth="1"/>
    <col min="5" max="5" width="6.90625" style="96" bestFit="1" customWidth="1"/>
    <col min="6" max="6" width="9.54296875" style="112" customWidth="1"/>
    <col min="7" max="7" width="8.1796875" style="112" bestFit="1" customWidth="1"/>
    <col min="8" max="8" width="9.36328125" style="96" customWidth="1"/>
    <col min="9" max="9" width="34.453125" style="96" bestFit="1" customWidth="1"/>
    <col min="10" max="18" width="7.81640625" style="96" bestFit="1" customWidth="1"/>
    <col min="19" max="19" width="9.36328125" style="96" bestFit="1" customWidth="1"/>
    <col min="20" max="21" width="8.90625" style="96"/>
    <col min="22" max="22" width="34.453125" style="96" bestFit="1" customWidth="1"/>
    <col min="23" max="30" width="7.81640625" style="96" bestFit="1" customWidth="1"/>
    <col min="31" max="31" width="8.90625" style="96"/>
    <col min="32" max="32" width="9.36328125" style="96" bestFit="1" customWidth="1"/>
    <col min="33" max="16384" width="8.90625" style="96"/>
  </cols>
  <sheetData>
    <row r="1" spans="1:42" x14ac:dyDescent="0.3">
      <c r="A1" s="152" t="s">
        <v>127</v>
      </c>
      <c r="B1" s="152"/>
      <c r="C1" s="152"/>
      <c r="D1" s="152"/>
      <c r="E1" s="152"/>
      <c r="F1" s="152"/>
      <c r="G1" s="152"/>
      <c r="I1" s="153" t="s">
        <v>135</v>
      </c>
      <c r="J1" s="154"/>
      <c r="K1" s="154"/>
      <c r="L1" s="154"/>
      <c r="M1" s="154"/>
      <c r="N1" s="154"/>
      <c r="O1" s="154"/>
      <c r="P1" s="154"/>
      <c r="Q1" s="154"/>
      <c r="R1" s="154"/>
      <c r="S1" s="155"/>
      <c r="V1" s="156" t="s">
        <v>134</v>
      </c>
      <c r="W1" s="157"/>
      <c r="X1" s="157"/>
      <c r="Y1" s="157"/>
      <c r="Z1" s="157"/>
      <c r="AA1" s="157"/>
      <c r="AB1" s="157"/>
      <c r="AC1" s="157"/>
      <c r="AD1" s="158"/>
      <c r="AF1" s="96" t="s">
        <v>136</v>
      </c>
    </row>
    <row r="2" spans="1:42" ht="72" x14ac:dyDescent="0.3">
      <c r="A2" s="97" t="s">
        <v>125</v>
      </c>
      <c r="B2" s="98" t="s">
        <v>128</v>
      </c>
      <c r="C2" s="98" t="s">
        <v>129</v>
      </c>
      <c r="D2" s="98" t="s">
        <v>131</v>
      </c>
      <c r="E2" s="98" t="s">
        <v>34</v>
      </c>
      <c r="F2" s="108" t="s">
        <v>160</v>
      </c>
      <c r="G2" s="108" t="s">
        <v>130</v>
      </c>
      <c r="H2" s="99"/>
      <c r="I2" s="100" t="s">
        <v>125</v>
      </c>
      <c r="J2" s="100">
        <v>2008</v>
      </c>
      <c r="K2" s="100">
        <v>2009</v>
      </c>
      <c r="L2" s="100">
        <v>2010</v>
      </c>
      <c r="M2" s="100">
        <v>2011</v>
      </c>
      <c r="N2" s="100">
        <v>2012</v>
      </c>
      <c r="O2" s="100">
        <v>2013</v>
      </c>
      <c r="P2" s="100">
        <v>2014</v>
      </c>
      <c r="Q2" s="100">
        <v>2015</v>
      </c>
      <c r="R2" s="100">
        <v>2016</v>
      </c>
      <c r="S2" s="100">
        <v>2017</v>
      </c>
      <c r="T2" s="108" t="s">
        <v>160</v>
      </c>
      <c r="U2" s="108" t="s">
        <v>130</v>
      </c>
      <c r="V2" s="101" t="s">
        <v>125</v>
      </c>
      <c r="W2" s="101">
        <v>2015</v>
      </c>
      <c r="X2" s="101">
        <v>2020</v>
      </c>
      <c r="Y2" s="101">
        <v>2030</v>
      </c>
      <c r="Z2" s="101">
        <v>2040</v>
      </c>
      <c r="AA2" s="101">
        <v>2050</v>
      </c>
      <c r="AB2" s="101">
        <v>2060</v>
      </c>
      <c r="AC2" s="101">
        <v>2070</v>
      </c>
      <c r="AD2" s="101">
        <v>2080</v>
      </c>
      <c r="AF2" s="96">
        <v>2014</v>
      </c>
      <c r="AG2" s="100">
        <v>2015</v>
      </c>
      <c r="AH2" s="100">
        <v>2016</v>
      </c>
      <c r="AI2" s="100">
        <v>2017</v>
      </c>
      <c r="AJ2" s="101">
        <v>2020</v>
      </c>
      <c r="AK2" s="101">
        <v>2030</v>
      </c>
      <c r="AL2" s="101">
        <v>2040</v>
      </c>
      <c r="AM2" s="101">
        <v>2050</v>
      </c>
      <c r="AN2" s="101">
        <v>2060</v>
      </c>
      <c r="AO2" s="101">
        <v>2070</v>
      </c>
      <c r="AP2" s="101">
        <v>2080</v>
      </c>
    </row>
    <row r="3" spans="1:42" x14ac:dyDescent="0.3">
      <c r="A3" s="97"/>
      <c r="B3" s="98"/>
      <c r="C3" s="98"/>
      <c r="D3" s="98"/>
      <c r="E3" s="98"/>
      <c r="F3" s="108"/>
      <c r="G3" s="108"/>
      <c r="H3" s="99"/>
      <c r="I3" s="100" t="s">
        <v>159</v>
      </c>
      <c r="J3" s="100"/>
      <c r="K3" s="100"/>
      <c r="L3" s="100"/>
      <c r="M3" s="100"/>
      <c r="N3" s="100"/>
      <c r="O3" s="100"/>
      <c r="P3" s="100"/>
      <c r="Q3" s="100"/>
      <c r="R3" s="100"/>
      <c r="S3" s="96">
        <f>SUM(S5:S35)+S37</f>
        <v>517157448</v>
      </c>
      <c r="T3" s="139">
        <f>SUM(T5:T35)+T37</f>
        <v>113753368.76000002</v>
      </c>
      <c r="U3" s="139">
        <f>SUM(U5:U35)+U37</f>
        <v>106895649.17200001</v>
      </c>
      <c r="V3" s="101"/>
      <c r="W3" s="101"/>
      <c r="X3" s="101"/>
      <c r="Y3" s="101"/>
      <c r="Z3" s="101"/>
      <c r="AA3" s="101"/>
      <c r="AB3" s="101"/>
      <c r="AC3" s="101"/>
      <c r="AD3" s="101"/>
      <c r="AG3" s="137"/>
      <c r="AH3" s="137"/>
      <c r="AI3" s="137"/>
      <c r="AJ3" s="138"/>
      <c r="AK3" s="138"/>
      <c r="AL3" s="138"/>
      <c r="AM3" s="138"/>
      <c r="AN3" s="138"/>
      <c r="AO3" s="138"/>
      <c r="AP3" s="138"/>
    </row>
    <row r="4" spans="1:42" x14ac:dyDescent="0.3">
      <c r="A4" s="97" t="s">
        <v>48</v>
      </c>
      <c r="B4" s="101">
        <v>5.9</v>
      </c>
      <c r="C4" s="101">
        <v>4.0999999999999996</v>
      </c>
      <c r="D4" s="101">
        <v>5</v>
      </c>
      <c r="E4" s="101">
        <v>6.9</v>
      </c>
      <c r="F4" s="113">
        <f>SUM(B4:E4)</f>
        <v>21.9</v>
      </c>
      <c r="G4" s="109">
        <v>21</v>
      </c>
      <c r="I4" s="100" t="s">
        <v>133</v>
      </c>
      <c r="J4" s="100">
        <v>500297033</v>
      </c>
      <c r="K4" s="100">
        <v>502090235</v>
      </c>
      <c r="L4" s="100">
        <v>503170618</v>
      </c>
      <c r="M4" s="100">
        <v>502964837</v>
      </c>
      <c r="N4" s="100">
        <v>504047964</v>
      </c>
      <c r="O4" s="100">
        <v>505161863</v>
      </c>
      <c r="P4" s="100">
        <v>507011330</v>
      </c>
      <c r="Q4" s="100">
        <v>508540103</v>
      </c>
      <c r="R4" s="100">
        <v>510277177</v>
      </c>
      <c r="S4" s="100">
        <v>511522671</v>
      </c>
      <c r="V4" s="101" t="s">
        <v>126</v>
      </c>
      <c r="W4" s="101">
        <v>508401408</v>
      </c>
      <c r="X4" s="101">
        <v>515591288</v>
      </c>
      <c r="Y4" s="101">
        <v>523827302</v>
      </c>
      <c r="Z4" s="101">
        <v>528357270</v>
      </c>
      <c r="AA4" s="101">
        <v>528567808</v>
      </c>
      <c r="AB4" s="101">
        <v>524635534</v>
      </c>
      <c r="AC4" s="101">
        <v>520393410</v>
      </c>
      <c r="AD4" s="101">
        <v>518798375</v>
      </c>
      <c r="AF4" s="115">
        <f>P4*F4/100</f>
        <v>111035481.27</v>
      </c>
      <c r="AG4" s="115">
        <f>Q4*F4/100</f>
        <v>111370282.55699998</v>
      </c>
      <c r="AH4" s="115">
        <f>R4*F4/100</f>
        <v>111750701.763</v>
      </c>
      <c r="AI4" s="115">
        <f>S4*F4/100</f>
        <v>112023464.949</v>
      </c>
    </row>
    <row r="5" spans="1:42" x14ac:dyDescent="0.3">
      <c r="A5" s="97" t="s">
        <v>22</v>
      </c>
      <c r="B5" s="101">
        <v>4.3</v>
      </c>
      <c r="C5" s="101">
        <v>4</v>
      </c>
      <c r="D5" s="101">
        <v>2.5</v>
      </c>
      <c r="E5" s="101">
        <v>5.3</v>
      </c>
      <c r="F5" s="113">
        <f t="shared" ref="F5:F36" si="0">SUM(B5:E5)</f>
        <v>16.100000000000001</v>
      </c>
      <c r="G5" s="109">
        <v>16.5</v>
      </c>
      <c r="I5" s="100" t="s">
        <v>22</v>
      </c>
      <c r="J5" s="100">
        <v>10666866</v>
      </c>
      <c r="K5" s="100">
        <v>10753080</v>
      </c>
      <c r="L5" s="100">
        <v>10839905</v>
      </c>
      <c r="M5" s="100">
        <v>11000638</v>
      </c>
      <c r="N5" s="100">
        <v>11075889</v>
      </c>
      <c r="O5" s="100">
        <v>11137974</v>
      </c>
      <c r="P5" s="100">
        <v>11180840</v>
      </c>
      <c r="Q5" s="100">
        <v>11237274</v>
      </c>
      <c r="R5" s="100">
        <v>11311117</v>
      </c>
      <c r="S5" s="100">
        <v>11351727</v>
      </c>
      <c r="T5" s="96">
        <f>S5*F5/100</f>
        <v>1827628.0470000003</v>
      </c>
      <c r="U5" s="96">
        <f>G5*S5/100</f>
        <v>1873034.9550000001</v>
      </c>
      <c r="V5" s="101" t="s">
        <v>22</v>
      </c>
      <c r="W5" s="101">
        <v>11208986</v>
      </c>
      <c r="X5" s="101">
        <v>11580268</v>
      </c>
      <c r="Y5" s="101">
        <v>12264124</v>
      </c>
      <c r="Z5" s="101">
        <v>12844259</v>
      </c>
      <c r="AA5" s="101">
        <v>13273155</v>
      </c>
      <c r="AB5" s="101">
        <v>13580693</v>
      </c>
      <c r="AC5" s="101">
        <v>13888154</v>
      </c>
      <c r="AD5" s="101">
        <v>14189456</v>
      </c>
      <c r="AF5" s="96">
        <f t="shared" ref="AF5:AF32" si="1">P5*F5/100</f>
        <v>1800115.2400000002</v>
      </c>
      <c r="AG5" s="96">
        <f t="shared" ref="AG5:AG32" si="2">P5*G5/100</f>
        <v>1844838.6</v>
      </c>
      <c r="AH5" s="96">
        <f t="shared" ref="AH5:AH32" si="3">R5*F5/100</f>
        <v>1821089.8370000003</v>
      </c>
      <c r="AI5" s="96">
        <f t="shared" ref="AI5:AI32" si="4">S5*F5/100</f>
        <v>1827628.0470000003</v>
      </c>
    </row>
    <row r="6" spans="1:42" x14ac:dyDescent="0.3">
      <c r="A6" s="97" t="s">
        <v>35</v>
      </c>
      <c r="B6" s="101">
        <v>2.7</v>
      </c>
      <c r="C6" s="101">
        <v>4.5999999999999996</v>
      </c>
      <c r="D6" s="101">
        <v>11.3</v>
      </c>
      <c r="E6" s="101">
        <v>6.4</v>
      </c>
      <c r="F6" s="113">
        <f t="shared" si="0"/>
        <v>25</v>
      </c>
      <c r="G6" s="109">
        <v>29.6</v>
      </c>
      <c r="I6" s="100" t="s">
        <v>35</v>
      </c>
      <c r="J6" s="100">
        <v>7518002</v>
      </c>
      <c r="K6" s="100">
        <v>7467119</v>
      </c>
      <c r="L6" s="100">
        <v>7421766</v>
      </c>
      <c r="M6" s="100">
        <v>7369431</v>
      </c>
      <c r="N6" s="100">
        <v>7327224</v>
      </c>
      <c r="O6" s="100">
        <v>7284552</v>
      </c>
      <c r="P6" s="100">
        <v>7245677</v>
      </c>
      <c r="Q6" s="100">
        <v>7202198</v>
      </c>
      <c r="R6" s="100">
        <v>7153784</v>
      </c>
      <c r="S6" s="100">
        <v>7101859</v>
      </c>
      <c r="T6" s="96">
        <f t="shared" ref="T6:T37" si="5">S6*F6/100</f>
        <v>1775464.75</v>
      </c>
      <c r="U6" s="96">
        <f t="shared" ref="U6:U37" si="6">G6*S6/100</f>
        <v>2102150.264</v>
      </c>
      <c r="V6" s="101" t="s">
        <v>35</v>
      </c>
      <c r="W6" s="101">
        <v>7202198</v>
      </c>
      <c r="X6" s="101">
        <v>6954254</v>
      </c>
      <c r="Y6" s="101">
        <v>6408361</v>
      </c>
      <c r="Z6" s="101">
        <v>5933535</v>
      </c>
      <c r="AA6" s="101">
        <v>5564146</v>
      </c>
      <c r="AB6" s="101">
        <v>5225824</v>
      </c>
      <c r="AC6" s="101">
        <v>4871873</v>
      </c>
      <c r="AD6" s="101">
        <v>4593415</v>
      </c>
      <c r="AF6" s="96">
        <f t="shared" si="1"/>
        <v>1811419.25</v>
      </c>
      <c r="AG6" s="96">
        <f t="shared" si="2"/>
        <v>2144720.392</v>
      </c>
      <c r="AH6" s="96">
        <f t="shared" si="3"/>
        <v>1788446</v>
      </c>
      <c r="AI6" s="96">
        <f t="shared" si="4"/>
        <v>1775464.75</v>
      </c>
    </row>
    <row r="7" spans="1:42" x14ac:dyDescent="0.3">
      <c r="A7" s="97" t="s">
        <v>38</v>
      </c>
      <c r="B7" s="101">
        <v>4.5</v>
      </c>
      <c r="C7" s="101">
        <v>2.1</v>
      </c>
      <c r="D7" s="101">
        <v>5.9</v>
      </c>
      <c r="E7" s="101">
        <v>7.7</v>
      </c>
      <c r="F7" s="113">
        <f t="shared" si="0"/>
        <v>20.2</v>
      </c>
      <c r="G7" s="109">
        <v>23.7</v>
      </c>
      <c r="I7" s="100" t="s">
        <v>38</v>
      </c>
      <c r="J7" s="100">
        <v>10343422</v>
      </c>
      <c r="K7" s="100">
        <v>10425783</v>
      </c>
      <c r="L7" s="100">
        <v>10462088</v>
      </c>
      <c r="M7" s="100">
        <v>10486731</v>
      </c>
      <c r="N7" s="100">
        <v>10505445</v>
      </c>
      <c r="O7" s="100">
        <v>10516125</v>
      </c>
      <c r="P7" s="100">
        <v>10512419</v>
      </c>
      <c r="Q7" s="100">
        <v>10538275</v>
      </c>
      <c r="R7" s="100">
        <v>10553843</v>
      </c>
      <c r="S7" s="100">
        <v>10578820</v>
      </c>
      <c r="T7" s="96">
        <f t="shared" si="5"/>
        <v>2136921.64</v>
      </c>
      <c r="U7" s="96">
        <f t="shared" si="6"/>
        <v>2507180.34</v>
      </c>
      <c r="V7" s="101" t="s">
        <v>38</v>
      </c>
      <c r="W7" s="101">
        <v>10538275</v>
      </c>
      <c r="X7" s="101">
        <v>10652407</v>
      </c>
      <c r="Y7" s="101">
        <v>10691890</v>
      </c>
      <c r="Z7" s="101">
        <v>10552301</v>
      </c>
      <c r="AA7" s="101">
        <v>10478190</v>
      </c>
      <c r="AB7" s="101">
        <v>10307640</v>
      </c>
      <c r="AC7" s="101">
        <v>9983111</v>
      </c>
      <c r="AD7" s="101">
        <v>9777734</v>
      </c>
      <c r="AF7" s="96">
        <f t="shared" si="1"/>
        <v>2123508.6379999998</v>
      </c>
      <c r="AG7" s="96">
        <f t="shared" si="2"/>
        <v>2491443.3029999998</v>
      </c>
      <c r="AH7" s="96">
        <f t="shared" si="3"/>
        <v>2131876.2859999998</v>
      </c>
      <c r="AI7" s="96">
        <f t="shared" si="4"/>
        <v>2136921.64</v>
      </c>
    </row>
    <row r="8" spans="1:42" x14ac:dyDescent="0.3">
      <c r="A8" s="97" t="s">
        <v>26</v>
      </c>
      <c r="B8" s="101">
        <v>6.5</v>
      </c>
      <c r="C8" s="101">
        <v>3.4</v>
      </c>
      <c r="D8" s="101">
        <v>2.8</v>
      </c>
      <c r="E8" s="101">
        <v>4.5999999999999996</v>
      </c>
      <c r="F8" s="113">
        <f t="shared" si="0"/>
        <v>17.299999999999997</v>
      </c>
      <c r="G8" s="109">
        <v>17.7</v>
      </c>
      <c r="I8" s="100" t="s">
        <v>26</v>
      </c>
      <c r="J8" s="100">
        <v>5475791</v>
      </c>
      <c r="K8" s="100">
        <v>5511451</v>
      </c>
      <c r="L8" s="100">
        <v>5534738</v>
      </c>
      <c r="M8" s="100">
        <v>5560628</v>
      </c>
      <c r="N8" s="100">
        <v>5580516</v>
      </c>
      <c r="O8" s="100">
        <v>5602628</v>
      </c>
      <c r="P8" s="100">
        <v>5627235</v>
      </c>
      <c r="Q8" s="100">
        <v>5659715</v>
      </c>
      <c r="R8" s="100">
        <v>5707251</v>
      </c>
      <c r="S8" s="100">
        <v>5748769</v>
      </c>
      <c r="T8" s="96">
        <f t="shared" si="5"/>
        <v>994537.03699999989</v>
      </c>
      <c r="U8" s="96">
        <f t="shared" si="6"/>
        <v>1017532.113</v>
      </c>
      <c r="V8" s="101" t="s">
        <v>26</v>
      </c>
      <c r="W8" s="101">
        <v>5659715</v>
      </c>
      <c r="X8" s="101">
        <v>5887449</v>
      </c>
      <c r="Y8" s="101">
        <v>6298421</v>
      </c>
      <c r="Z8" s="101">
        <v>6564333</v>
      </c>
      <c r="AA8" s="101">
        <v>6685016</v>
      </c>
      <c r="AB8" s="101">
        <v>6756166</v>
      </c>
      <c r="AC8" s="101">
        <v>6826143</v>
      </c>
      <c r="AD8" s="101">
        <v>6858258</v>
      </c>
      <c r="AF8" s="96">
        <f t="shared" si="1"/>
        <v>973511.6549999998</v>
      </c>
      <c r="AG8" s="96">
        <f t="shared" si="2"/>
        <v>996020.59499999997</v>
      </c>
      <c r="AH8" s="96">
        <f t="shared" si="3"/>
        <v>987354.42299999984</v>
      </c>
      <c r="AI8" s="96">
        <f t="shared" si="4"/>
        <v>994537.03699999989</v>
      </c>
    </row>
    <row r="9" spans="1:42" x14ac:dyDescent="0.3">
      <c r="A9" s="97" t="s">
        <v>49</v>
      </c>
      <c r="B9" s="101">
        <v>6.1</v>
      </c>
      <c r="C9" s="101">
        <v>5.3</v>
      </c>
      <c r="D9" s="101">
        <v>5.5</v>
      </c>
      <c r="E9" s="101">
        <v>7.2</v>
      </c>
      <c r="F9" s="113">
        <f t="shared" si="0"/>
        <v>24.099999999999998</v>
      </c>
      <c r="G9" s="109">
        <v>28.5</v>
      </c>
      <c r="I9" s="100" t="s">
        <v>49</v>
      </c>
      <c r="J9" s="100">
        <v>82217837</v>
      </c>
      <c r="K9" s="100">
        <v>82002356</v>
      </c>
      <c r="L9" s="100">
        <v>81802257</v>
      </c>
      <c r="M9" s="100">
        <v>80222065</v>
      </c>
      <c r="N9" s="100">
        <v>80327900</v>
      </c>
      <c r="O9" s="100">
        <v>80523746</v>
      </c>
      <c r="P9" s="100">
        <v>80767463</v>
      </c>
      <c r="Q9" s="100">
        <v>81197537</v>
      </c>
      <c r="R9" s="100">
        <v>82175684</v>
      </c>
      <c r="S9" s="100">
        <v>82521653</v>
      </c>
      <c r="T9" s="96">
        <f t="shared" si="5"/>
        <v>19887718.372999996</v>
      </c>
      <c r="U9" s="96">
        <f t="shared" si="6"/>
        <v>23518671.105</v>
      </c>
      <c r="V9" s="101" t="s">
        <v>49</v>
      </c>
      <c r="W9" s="101">
        <v>81197537</v>
      </c>
      <c r="X9" s="101">
        <v>83751689</v>
      </c>
      <c r="Y9" s="101">
        <v>84613298</v>
      </c>
      <c r="Z9" s="101">
        <v>84133642</v>
      </c>
      <c r="AA9" s="101">
        <v>82686973</v>
      </c>
      <c r="AB9" s="101">
        <v>80831728</v>
      </c>
      <c r="AC9" s="101">
        <v>79292754</v>
      </c>
      <c r="AD9" s="101">
        <v>77793794</v>
      </c>
      <c r="AF9" s="96">
        <f t="shared" si="1"/>
        <v>19464958.582999997</v>
      </c>
      <c r="AG9" s="96">
        <f t="shared" si="2"/>
        <v>23018726.954999998</v>
      </c>
      <c r="AH9" s="96">
        <f t="shared" si="3"/>
        <v>19804339.843999997</v>
      </c>
      <c r="AI9" s="96">
        <f t="shared" si="4"/>
        <v>19887718.372999996</v>
      </c>
    </row>
    <row r="10" spans="1:42" x14ac:dyDescent="0.3">
      <c r="A10" s="97" t="s">
        <v>27</v>
      </c>
      <c r="B10" s="101">
        <v>3.1</v>
      </c>
      <c r="C10" s="101">
        <v>2.2000000000000002</v>
      </c>
      <c r="D10" s="101">
        <v>7</v>
      </c>
      <c r="E10" s="101">
        <v>5.5</v>
      </c>
      <c r="F10" s="113">
        <f t="shared" si="0"/>
        <v>17.8</v>
      </c>
      <c r="G10" s="109">
        <v>22.9</v>
      </c>
      <c r="I10" s="100" t="s">
        <v>27</v>
      </c>
      <c r="J10" s="100">
        <v>1338440</v>
      </c>
      <c r="K10" s="100">
        <v>1335740</v>
      </c>
      <c r="L10" s="100">
        <v>1333290</v>
      </c>
      <c r="M10" s="100">
        <v>1329660</v>
      </c>
      <c r="N10" s="100">
        <v>1325217</v>
      </c>
      <c r="O10" s="100">
        <v>1320174</v>
      </c>
      <c r="P10" s="100">
        <v>1315819</v>
      </c>
      <c r="Q10" s="100">
        <v>1314870</v>
      </c>
      <c r="R10" s="100">
        <v>1315944</v>
      </c>
      <c r="S10" s="100">
        <v>1315635</v>
      </c>
      <c r="T10" s="96">
        <f t="shared" si="5"/>
        <v>234183.03</v>
      </c>
      <c r="U10" s="96">
        <f t="shared" si="6"/>
        <v>301280.41499999998</v>
      </c>
      <c r="V10" s="101" t="s">
        <v>27</v>
      </c>
      <c r="W10" s="101">
        <v>1313271</v>
      </c>
      <c r="X10" s="101">
        <v>1317940</v>
      </c>
      <c r="Y10" s="101">
        <v>1306181</v>
      </c>
      <c r="Z10" s="101">
        <v>1283732</v>
      </c>
      <c r="AA10" s="101">
        <v>1256975</v>
      </c>
      <c r="AB10" s="101">
        <v>1221012</v>
      </c>
      <c r="AC10" s="101">
        <v>1178364</v>
      </c>
      <c r="AD10" s="101">
        <v>1140304</v>
      </c>
      <c r="AF10" s="96">
        <f t="shared" si="1"/>
        <v>234215.78200000001</v>
      </c>
      <c r="AG10" s="96">
        <f t="shared" si="2"/>
        <v>301322.55099999998</v>
      </c>
      <c r="AH10" s="96">
        <f t="shared" si="3"/>
        <v>234238.03200000001</v>
      </c>
      <c r="AI10" s="96">
        <f t="shared" si="4"/>
        <v>234183.03</v>
      </c>
    </row>
    <row r="11" spans="1:42" x14ac:dyDescent="0.3">
      <c r="A11" s="97" t="s">
        <v>30</v>
      </c>
      <c r="B11" s="101">
        <v>9</v>
      </c>
      <c r="C11" s="101">
        <v>2.9</v>
      </c>
      <c r="D11" s="101">
        <v>4.0999999999999996</v>
      </c>
      <c r="E11" s="101">
        <v>4.5999999999999996</v>
      </c>
      <c r="F11" s="113">
        <f t="shared" si="0"/>
        <v>20.6</v>
      </c>
      <c r="G11" s="109">
        <v>15.5</v>
      </c>
      <c r="I11" s="100" t="s">
        <v>30</v>
      </c>
      <c r="J11" s="100">
        <v>4457765</v>
      </c>
      <c r="K11" s="100">
        <v>4521322</v>
      </c>
      <c r="L11" s="100">
        <v>4549428</v>
      </c>
      <c r="M11" s="100">
        <v>4570881</v>
      </c>
      <c r="N11" s="100">
        <v>4589287</v>
      </c>
      <c r="O11" s="100">
        <v>4609779</v>
      </c>
      <c r="P11" s="100">
        <v>4637852</v>
      </c>
      <c r="Q11" s="100">
        <v>4677627</v>
      </c>
      <c r="R11" s="100">
        <v>4726286</v>
      </c>
      <c r="S11" s="100">
        <v>4784383</v>
      </c>
      <c r="T11" s="96">
        <f t="shared" si="5"/>
        <v>985582.89800000016</v>
      </c>
      <c r="U11" s="96">
        <f t="shared" si="6"/>
        <v>741579.36499999999</v>
      </c>
      <c r="V11" s="101" t="s">
        <v>30</v>
      </c>
      <c r="W11" s="101">
        <v>4628949</v>
      </c>
      <c r="X11" s="101">
        <v>4852123</v>
      </c>
      <c r="Y11" s="101">
        <v>5146475</v>
      </c>
      <c r="Z11" s="101">
        <v>5396380</v>
      </c>
      <c r="AA11" s="101">
        <v>5693430</v>
      </c>
      <c r="AB11" s="101">
        <v>5898111</v>
      </c>
      <c r="AC11" s="101">
        <v>6034648</v>
      </c>
      <c r="AD11" s="101">
        <v>6220907</v>
      </c>
      <c r="AF11" s="96">
        <f t="shared" si="1"/>
        <v>955397.51199999999</v>
      </c>
      <c r="AG11" s="96">
        <f t="shared" si="2"/>
        <v>718867.06</v>
      </c>
      <c r="AH11" s="96">
        <f t="shared" si="3"/>
        <v>973614.91600000008</v>
      </c>
      <c r="AI11" s="96">
        <f t="shared" si="4"/>
        <v>985582.89800000016</v>
      </c>
    </row>
    <row r="12" spans="1:42" x14ac:dyDescent="0.3">
      <c r="A12" s="97" t="s">
        <v>41</v>
      </c>
      <c r="B12" s="101">
        <v>4.4000000000000004</v>
      </c>
      <c r="C12" s="101">
        <v>3.2</v>
      </c>
      <c r="D12" s="101">
        <v>5.5</v>
      </c>
      <c r="E12" s="101">
        <v>9.1999999999999993</v>
      </c>
      <c r="F12" s="113">
        <f t="shared" si="0"/>
        <v>22.3</v>
      </c>
      <c r="G12" s="109">
        <v>20.9</v>
      </c>
      <c r="I12" s="100" t="s">
        <v>41</v>
      </c>
      <c r="J12" s="100">
        <v>11060937</v>
      </c>
      <c r="K12" s="100">
        <v>11094745</v>
      </c>
      <c r="L12" s="100">
        <v>11119289</v>
      </c>
      <c r="M12" s="100">
        <v>11123392</v>
      </c>
      <c r="N12" s="100">
        <v>11086406</v>
      </c>
      <c r="O12" s="100">
        <v>11003615</v>
      </c>
      <c r="P12" s="100">
        <v>10926807</v>
      </c>
      <c r="Q12" s="100">
        <v>10858018</v>
      </c>
      <c r="R12" s="100">
        <v>10783748</v>
      </c>
      <c r="S12" s="100">
        <v>10768193</v>
      </c>
      <c r="T12" s="96">
        <f t="shared" si="5"/>
        <v>2401307.0389999999</v>
      </c>
      <c r="U12" s="96">
        <f t="shared" si="6"/>
        <v>2250552.3369999998</v>
      </c>
      <c r="V12" s="101" t="s">
        <v>41</v>
      </c>
      <c r="W12" s="101">
        <v>10858018</v>
      </c>
      <c r="X12" s="101">
        <v>10560467</v>
      </c>
      <c r="Y12" s="101">
        <v>9944658</v>
      </c>
      <c r="Z12" s="101">
        <v>9419973</v>
      </c>
      <c r="AA12" s="101">
        <v>8918545</v>
      </c>
      <c r="AB12" s="101">
        <v>8294677</v>
      </c>
      <c r="AC12" s="101">
        <v>7685925</v>
      </c>
      <c r="AD12" s="101">
        <v>7264686</v>
      </c>
      <c r="AF12" s="96">
        <f t="shared" si="1"/>
        <v>2436677.9610000001</v>
      </c>
      <c r="AG12" s="96">
        <f t="shared" si="2"/>
        <v>2283702.6629999997</v>
      </c>
      <c r="AH12" s="96">
        <f t="shared" si="3"/>
        <v>2404775.804</v>
      </c>
      <c r="AI12" s="96">
        <f t="shared" si="4"/>
        <v>2401307.0389999999</v>
      </c>
    </row>
    <row r="13" spans="1:42" x14ac:dyDescent="0.3">
      <c r="A13" s="97" t="s">
        <v>21</v>
      </c>
      <c r="B13" s="101">
        <v>4.5</v>
      </c>
      <c r="C13" s="101">
        <v>3.3</v>
      </c>
      <c r="D13" s="101">
        <v>1.5</v>
      </c>
      <c r="E13" s="101">
        <v>6.8</v>
      </c>
      <c r="F13" s="113">
        <f t="shared" si="0"/>
        <v>16.100000000000001</v>
      </c>
      <c r="G13" s="109">
        <v>18.7</v>
      </c>
      <c r="I13" s="100" t="s">
        <v>21</v>
      </c>
      <c r="J13" s="100">
        <v>45668939</v>
      </c>
      <c r="K13" s="100">
        <v>46239273</v>
      </c>
      <c r="L13" s="100">
        <v>46486619</v>
      </c>
      <c r="M13" s="100">
        <v>46667174</v>
      </c>
      <c r="N13" s="100">
        <v>46818219</v>
      </c>
      <c r="O13" s="100">
        <v>46727890</v>
      </c>
      <c r="P13" s="100">
        <v>46512199</v>
      </c>
      <c r="Q13" s="100">
        <v>46449565</v>
      </c>
      <c r="R13" s="100">
        <v>46440099</v>
      </c>
      <c r="S13" s="100">
        <v>46528024</v>
      </c>
      <c r="T13" s="96">
        <f t="shared" si="5"/>
        <v>7491011.864000001</v>
      </c>
      <c r="U13" s="96">
        <f t="shared" si="6"/>
        <v>8700740.4879999999</v>
      </c>
      <c r="V13" s="101" t="s">
        <v>21</v>
      </c>
      <c r="W13" s="101">
        <v>46449565</v>
      </c>
      <c r="X13" s="101">
        <v>46562044</v>
      </c>
      <c r="Y13" s="101">
        <v>47110106</v>
      </c>
      <c r="Z13" s="101">
        <v>48244792</v>
      </c>
      <c r="AA13" s="101">
        <v>49257477</v>
      </c>
      <c r="AB13" s="101">
        <v>49556550</v>
      </c>
      <c r="AC13" s="101">
        <v>49827868</v>
      </c>
      <c r="AD13" s="101">
        <v>50988206</v>
      </c>
      <c r="AF13" s="96">
        <f t="shared" si="1"/>
        <v>7488464.0390000008</v>
      </c>
      <c r="AG13" s="96">
        <f t="shared" si="2"/>
        <v>8697781.2129999995</v>
      </c>
      <c r="AH13" s="96">
        <f t="shared" si="3"/>
        <v>7476855.9390000012</v>
      </c>
      <c r="AI13" s="96">
        <f t="shared" si="4"/>
        <v>7491011.864000001</v>
      </c>
    </row>
    <row r="14" spans="1:42" x14ac:dyDescent="0.3">
      <c r="A14" s="97" t="s">
        <v>15</v>
      </c>
      <c r="B14" s="101">
        <v>8.8000000000000007</v>
      </c>
      <c r="C14" s="101">
        <v>5.6</v>
      </c>
      <c r="D14" s="101">
        <v>3.1</v>
      </c>
      <c r="E14" s="101">
        <v>10</v>
      </c>
      <c r="F14" s="113">
        <f t="shared" si="0"/>
        <v>27.5</v>
      </c>
      <c r="G14" s="109">
        <v>14.4</v>
      </c>
      <c r="I14" s="100" t="s">
        <v>15</v>
      </c>
      <c r="J14" s="100">
        <v>64007193</v>
      </c>
      <c r="K14" s="100">
        <v>64350226</v>
      </c>
      <c r="L14" s="100">
        <v>64658856</v>
      </c>
      <c r="M14" s="100">
        <v>64978721</v>
      </c>
      <c r="N14" s="100">
        <v>65276983</v>
      </c>
      <c r="O14" s="100">
        <v>65600350</v>
      </c>
      <c r="P14" s="100">
        <v>65942267</v>
      </c>
      <c r="Q14" s="100">
        <v>66456279</v>
      </c>
      <c r="R14" s="100">
        <v>66730453</v>
      </c>
      <c r="S14" s="100">
        <v>66989083</v>
      </c>
      <c r="T14" s="96">
        <f t="shared" si="5"/>
        <v>18421997.824999999</v>
      </c>
      <c r="U14" s="96">
        <f t="shared" si="6"/>
        <v>9646427.9519999996</v>
      </c>
      <c r="V14" s="101" t="s">
        <v>15</v>
      </c>
      <c r="W14" s="101">
        <v>66415161</v>
      </c>
      <c r="X14" s="101">
        <v>67818978</v>
      </c>
      <c r="Y14" s="101">
        <v>70525154</v>
      </c>
      <c r="Z14" s="101">
        <v>72915525</v>
      </c>
      <c r="AA14" s="101">
        <v>74376832</v>
      </c>
      <c r="AB14" s="101">
        <v>75525269</v>
      </c>
      <c r="AC14" s="101">
        <v>76946531</v>
      </c>
      <c r="AD14" s="101">
        <v>78688730</v>
      </c>
      <c r="AF14" s="96">
        <f t="shared" si="1"/>
        <v>18134123.425000001</v>
      </c>
      <c r="AG14" s="96">
        <f t="shared" si="2"/>
        <v>9495686.4480000008</v>
      </c>
      <c r="AH14" s="96">
        <f t="shared" si="3"/>
        <v>18350874.574999999</v>
      </c>
      <c r="AI14" s="96">
        <f t="shared" si="4"/>
        <v>18421997.824999999</v>
      </c>
    </row>
    <row r="15" spans="1:42" x14ac:dyDescent="0.3">
      <c r="A15" s="97" t="s">
        <v>39</v>
      </c>
      <c r="B15" s="101">
        <v>3</v>
      </c>
      <c r="C15" s="101">
        <v>4.2</v>
      </c>
      <c r="D15" s="101">
        <v>7.1999999999999993</v>
      </c>
      <c r="E15" s="101">
        <v>7.1</v>
      </c>
      <c r="F15" s="113">
        <f t="shared" si="0"/>
        <v>21.5</v>
      </c>
      <c r="G15" s="109">
        <v>24.6</v>
      </c>
      <c r="I15" s="100" t="s">
        <v>39</v>
      </c>
      <c r="J15" s="100">
        <v>4311967</v>
      </c>
      <c r="K15" s="100">
        <v>4309796</v>
      </c>
      <c r="L15" s="100">
        <v>4302847</v>
      </c>
      <c r="M15" s="100">
        <v>4289857</v>
      </c>
      <c r="N15" s="100">
        <v>4275984</v>
      </c>
      <c r="O15" s="100">
        <v>4262140</v>
      </c>
      <c r="P15" s="100">
        <v>4246809</v>
      </c>
      <c r="Q15" s="100">
        <v>4225316</v>
      </c>
      <c r="R15" s="100">
        <v>4190669</v>
      </c>
      <c r="S15" s="100">
        <v>4154213</v>
      </c>
      <c r="T15" s="96">
        <f t="shared" si="5"/>
        <v>893155.79500000004</v>
      </c>
      <c r="U15" s="96">
        <f t="shared" si="6"/>
        <v>1021936.3980000002</v>
      </c>
      <c r="V15" s="101" t="s">
        <v>39</v>
      </c>
      <c r="W15" s="101">
        <v>4225316</v>
      </c>
      <c r="X15" s="101">
        <v>4091559</v>
      </c>
      <c r="Y15" s="101">
        <v>3954893</v>
      </c>
      <c r="Z15" s="101">
        <v>3819863</v>
      </c>
      <c r="AA15" s="101">
        <v>3674791</v>
      </c>
      <c r="AB15" s="101">
        <v>3533771</v>
      </c>
      <c r="AC15" s="101">
        <v>3401757</v>
      </c>
      <c r="AD15" s="101">
        <v>3276481</v>
      </c>
      <c r="AF15" s="96">
        <f t="shared" si="1"/>
        <v>913063.93500000006</v>
      </c>
      <c r="AG15" s="96">
        <f t="shared" si="2"/>
        <v>1044715.0140000001</v>
      </c>
      <c r="AH15" s="96">
        <f t="shared" si="3"/>
        <v>900993.83499999996</v>
      </c>
      <c r="AI15" s="96">
        <f t="shared" si="4"/>
        <v>893155.79500000004</v>
      </c>
    </row>
    <row r="16" spans="1:42" x14ac:dyDescent="0.3">
      <c r="A16" s="97" t="s">
        <v>13</v>
      </c>
      <c r="B16" s="101">
        <v>4.8</v>
      </c>
      <c r="C16" s="101">
        <v>5.0999999999999996</v>
      </c>
      <c r="D16" s="101">
        <v>4.5</v>
      </c>
      <c r="E16" s="101">
        <v>6.7</v>
      </c>
      <c r="F16" s="113">
        <f t="shared" si="0"/>
        <v>21.099999999999998</v>
      </c>
      <c r="G16" s="109">
        <v>20.6</v>
      </c>
      <c r="I16" s="100" t="s">
        <v>13</v>
      </c>
      <c r="J16" s="100">
        <v>58652875</v>
      </c>
      <c r="K16" s="100">
        <v>59000586</v>
      </c>
      <c r="L16" s="100">
        <v>59190143</v>
      </c>
      <c r="M16" s="100">
        <v>59364690</v>
      </c>
      <c r="N16" s="100">
        <v>59394207</v>
      </c>
      <c r="O16" s="100">
        <v>59685227</v>
      </c>
      <c r="P16" s="100">
        <v>60782668</v>
      </c>
      <c r="Q16" s="100">
        <v>60795612</v>
      </c>
      <c r="R16" s="100">
        <v>60665551</v>
      </c>
      <c r="S16" s="100">
        <v>60589445</v>
      </c>
      <c r="T16" s="96">
        <f t="shared" si="5"/>
        <v>12784372.894999998</v>
      </c>
      <c r="U16" s="96">
        <f t="shared" si="6"/>
        <v>12481425.67</v>
      </c>
      <c r="V16" s="101" t="s">
        <v>13</v>
      </c>
      <c r="W16" s="101">
        <v>60795612</v>
      </c>
      <c r="X16" s="101">
        <v>60718572</v>
      </c>
      <c r="Y16" s="101">
        <v>60350475</v>
      </c>
      <c r="Z16" s="101">
        <v>59982002</v>
      </c>
      <c r="AA16" s="101">
        <v>58968137</v>
      </c>
      <c r="AB16" s="101">
        <v>56948693</v>
      </c>
      <c r="AC16" s="101">
        <v>54935591</v>
      </c>
      <c r="AD16" s="101">
        <v>53784578</v>
      </c>
      <c r="AF16" s="96">
        <f t="shared" si="1"/>
        <v>12825142.947999999</v>
      </c>
      <c r="AG16" s="96">
        <f t="shared" si="2"/>
        <v>12521229.608000003</v>
      </c>
      <c r="AH16" s="96">
        <f t="shared" si="3"/>
        <v>12800431.261</v>
      </c>
      <c r="AI16" s="96">
        <f t="shared" si="4"/>
        <v>12784372.894999998</v>
      </c>
    </row>
    <row r="17" spans="1:35" x14ac:dyDescent="0.3">
      <c r="A17" s="97" t="s">
        <v>50</v>
      </c>
      <c r="B17" s="101">
        <v>4.3</v>
      </c>
      <c r="C17" s="101">
        <v>2.1</v>
      </c>
      <c r="D17" s="101">
        <v>4</v>
      </c>
      <c r="E17" s="101">
        <v>6.1</v>
      </c>
      <c r="F17" s="113">
        <f t="shared" si="0"/>
        <v>16.5</v>
      </c>
      <c r="G17" s="109">
        <v>17.3</v>
      </c>
      <c r="I17" s="100" t="s">
        <v>50</v>
      </c>
      <c r="J17" s="100">
        <v>776333</v>
      </c>
      <c r="K17" s="100">
        <v>796930</v>
      </c>
      <c r="L17" s="100">
        <v>819140</v>
      </c>
      <c r="M17" s="100">
        <v>839751</v>
      </c>
      <c r="N17" s="100">
        <v>862011</v>
      </c>
      <c r="O17" s="100">
        <v>865878</v>
      </c>
      <c r="P17" s="100">
        <v>858000</v>
      </c>
      <c r="Q17" s="100">
        <v>847008</v>
      </c>
      <c r="R17" s="100">
        <v>848319</v>
      </c>
      <c r="S17" s="100">
        <v>854802</v>
      </c>
      <c r="T17" s="96">
        <f t="shared" si="5"/>
        <v>141042.32999999999</v>
      </c>
      <c r="U17" s="96">
        <f t="shared" si="6"/>
        <v>147880.74600000001</v>
      </c>
      <c r="V17" s="101" t="s">
        <v>50</v>
      </c>
      <c r="W17" s="101">
        <v>847008</v>
      </c>
      <c r="X17" s="101">
        <v>869041</v>
      </c>
      <c r="Y17" s="101">
        <v>919997</v>
      </c>
      <c r="Z17" s="101">
        <v>954320</v>
      </c>
      <c r="AA17" s="101">
        <v>984402</v>
      </c>
      <c r="AB17" s="101">
        <v>1011947</v>
      </c>
      <c r="AC17" s="101">
        <v>1019473</v>
      </c>
      <c r="AD17" s="101">
        <v>1004870</v>
      </c>
      <c r="AF17" s="96">
        <f t="shared" si="1"/>
        <v>141570</v>
      </c>
      <c r="AG17" s="96">
        <f t="shared" si="2"/>
        <v>148434</v>
      </c>
      <c r="AH17" s="96">
        <f t="shared" si="3"/>
        <v>139972.63500000001</v>
      </c>
      <c r="AI17" s="96">
        <f t="shared" si="4"/>
        <v>141042.32999999999</v>
      </c>
    </row>
    <row r="18" spans="1:35" x14ac:dyDescent="0.3">
      <c r="A18" s="97" t="s">
        <v>23</v>
      </c>
      <c r="B18" s="101">
        <v>3.5</v>
      </c>
      <c r="C18" s="101">
        <v>4</v>
      </c>
      <c r="D18" s="101">
        <v>7.6999999999999993</v>
      </c>
      <c r="E18" s="101">
        <v>4.7</v>
      </c>
      <c r="F18" s="113">
        <f t="shared" si="0"/>
        <v>19.899999999999999</v>
      </c>
      <c r="G18" s="109">
        <v>29.4</v>
      </c>
      <c r="I18" s="100" t="s">
        <v>23</v>
      </c>
      <c r="J18" s="100">
        <v>2191810</v>
      </c>
      <c r="K18" s="100">
        <v>2162834</v>
      </c>
      <c r="L18" s="100">
        <v>2120504</v>
      </c>
      <c r="M18" s="100">
        <v>2074605</v>
      </c>
      <c r="N18" s="100">
        <v>2044813</v>
      </c>
      <c r="O18" s="100">
        <v>2023825</v>
      </c>
      <c r="P18" s="100">
        <v>2001468</v>
      </c>
      <c r="Q18" s="100">
        <v>1986096</v>
      </c>
      <c r="R18" s="100">
        <v>1968957</v>
      </c>
      <c r="S18" s="100">
        <v>1950116</v>
      </c>
      <c r="T18" s="96">
        <f t="shared" si="5"/>
        <v>388073.08399999997</v>
      </c>
      <c r="U18" s="96">
        <f t="shared" si="6"/>
        <v>573334.10399999993</v>
      </c>
      <c r="V18" s="101" t="s">
        <v>23</v>
      </c>
      <c r="W18" s="101">
        <v>1986096</v>
      </c>
      <c r="X18" s="101">
        <v>1911668</v>
      </c>
      <c r="Y18" s="101">
        <v>1743960</v>
      </c>
      <c r="Z18" s="101">
        <v>1598786</v>
      </c>
      <c r="AA18" s="101">
        <v>1506055</v>
      </c>
      <c r="AB18" s="101">
        <v>1426615</v>
      </c>
      <c r="AC18" s="101">
        <v>1342823</v>
      </c>
      <c r="AD18" s="101">
        <v>1284285</v>
      </c>
      <c r="AF18" s="96">
        <f t="shared" si="1"/>
        <v>398292.13199999998</v>
      </c>
      <c r="AG18" s="96">
        <f t="shared" si="2"/>
        <v>588431.59199999995</v>
      </c>
      <c r="AH18" s="96">
        <f t="shared" si="3"/>
        <v>391822.44299999997</v>
      </c>
      <c r="AI18" s="96">
        <f t="shared" si="4"/>
        <v>388073.08399999997</v>
      </c>
    </row>
    <row r="19" spans="1:35" x14ac:dyDescent="0.3">
      <c r="A19" s="97" t="s">
        <v>36</v>
      </c>
      <c r="B19" s="101">
        <v>2.7</v>
      </c>
      <c r="C19" s="101">
        <v>6.1</v>
      </c>
      <c r="D19" s="101">
        <v>9.6999999999999993</v>
      </c>
      <c r="E19" s="101">
        <v>4.4000000000000004</v>
      </c>
      <c r="F19" s="113">
        <f t="shared" si="0"/>
        <v>22.9</v>
      </c>
      <c r="G19" s="109">
        <v>28.1</v>
      </c>
      <c r="I19" s="100" t="s">
        <v>36</v>
      </c>
      <c r="J19" s="100">
        <v>3212605</v>
      </c>
      <c r="K19" s="100">
        <v>3183856</v>
      </c>
      <c r="L19" s="100">
        <v>3141976</v>
      </c>
      <c r="M19" s="100">
        <v>3052588</v>
      </c>
      <c r="N19" s="100">
        <v>3003641</v>
      </c>
      <c r="O19" s="100">
        <v>2971905</v>
      </c>
      <c r="P19" s="100">
        <v>2943472</v>
      </c>
      <c r="Q19" s="100">
        <v>2921262</v>
      </c>
      <c r="R19" s="100">
        <v>2888558</v>
      </c>
      <c r="S19" s="100">
        <v>2847904</v>
      </c>
      <c r="T19" s="96">
        <f t="shared" si="5"/>
        <v>652170.01599999995</v>
      </c>
      <c r="U19" s="96">
        <f t="shared" si="6"/>
        <v>800261.02400000009</v>
      </c>
      <c r="V19" s="101" t="s">
        <v>36</v>
      </c>
      <c r="W19" s="101">
        <v>2921262</v>
      </c>
      <c r="X19" s="101">
        <v>2749762</v>
      </c>
      <c r="Y19" s="101">
        <v>2410874</v>
      </c>
      <c r="Z19" s="101">
        <v>2128883</v>
      </c>
      <c r="AA19" s="101">
        <v>1957377</v>
      </c>
      <c r="AB19" s="101">
        <v>1837895</v>
      </c>
      <c r="AC19" s="101">
        <v>1724332</v>
      </c>
      <c r="AD19" s="101">
        <v>1658478</v>
      </c>
      <c r="AF19" s="96">
        <f t="shared" si="1"/>
        <v>674055.08799999999</v>
      </c>
      <c r="AG19" s="96">
        <f t="shared" si="2"/>
        <v>827115.63199999998</v>
      </c>
      <c r="AH19" s="96">
        <f t="shared" si="3"/>
        <v>661479.78200000001</v>
      </c>
      <c r="AI19" s="96">
        <f t="shared" si="4"/>
        <v>652170.01599999995</v>
      </c>
    </row>
    <row r="20" spans="1:35" x14ac:dyDescent="0.3">
      <c r="A20" s="97" t="s">
        <v>33</v>
      </c>
      <c r="B20" s="101">
        <v>6.8</v>
      </c>
      <c r="C20" s="101">
        <v>5.5</v>
      </c>
      <c r="D20" s="101">
        <v>3.5</v>
      </c>
      <c r="E20" s="101">
        <v>5.6</v>
      </c>
      <c r="F20" s="113">
        <f t="shared" si="0"/>
        <v>21.4</v>
      </c>
      <c r="G20" s="109">
        <v>16.5</v>
      </c>
      <c r="I20" s="100" t="s">
        <v>33</v>
      </c>
      <c r="J20" s="100">
        <v>483799</v>
      </c>
      <c r="K20" s="100">
        <v>493500</v>
      </c>
      <c r="L20" s="100">
        <v>502066</v>
      </c>
      <c r="M20" s="100">
        <v>511840</v>
      </c>
      <c r="N20" s="100">
        <v>524853</v>
      </c>
      <c r="O20" s="100">
        <v>537039</v>
      </c>
      <c r="P20" s="100">
        <v>549680</v>
      </c>
      <c r="Q20" s="100">
        <v>562958</v>
      </c>
      <c r="R20" s="100">
        <v>576249</v>
      </c>
      <c r="S20" s="100">
        <v>590667</v>
      </c>
      <c r="T20" s="96">
        <f t="shared" si="5"/>
        <v>126402.73799999998</v>
      </c>
      <c r="U20" s="96">
        <f t="shared" si="6"/>
        <v>97460.054999999993</v>
      </c>
      <c r="V20" s="101" t="s">
        <v>33</v>
      </c>
      <c r="W20" s="101">
        <v>562958</v>
      </c>
      <c r="X20" s="101">
        <v>628950</v>
      </c>
      <c r="Y20" s="101">
        <v>754522</v>
      </c>
      <c r="Z20" s="101">
        <v>860808</v>
      </c>
      <c r="AA20" s="101">
        <v>938416</v>
      </c>
      <c r="AB20" s="101">
        <v>992924</v>
      </c>
      <c r="AC20" s="101">
        <v>1035348</v>
      </c>
      <c r="AD20" s="101">
        <v>1066377</v>
      </c>
      <c r="AF20" s="96">
        <f t="shared" si="1"/>
        <v>117631.52</v>
      </c>
      <c r="AG20" s="96">
        <f t="shared" si="2"/>
        <v>90697.2</v>
      </c>
      <c r="AH20" s="96">
        <f t="shared" si="3"/>
        <v>123317.28599999999</v>
      </c>
      <c r="AI20" s="96">
        <f t="shared" si="4"/>
        <v>126402.73799999998</v>
      </c>
    </row>
    <row r="21" spans="1:35" x14ac:dyDescent="0.3">
      <c r="A21" s="97" t="s">
        <v>29</v>
      </c>
      <c r="B21" s="101">
        <v>4.9000000000000004</v>
      </c>
      <c r="C21" s="101">
        <v>4.0999999999999996</v>
      </c>
      <c r="D21" s="101">
        <v>7.3000000000000007</v>
      </c>
      <c r="E21" s="101">
        <v>8.1</v>
      </c>
      <c r="F21" s="113">
        <f t="shared" si="0"/>
        <v>24.4</v>
      </c>
      <c r="G21" s="109">
        <v>31.9</v>
      </c>
      <c r="I21" s="100" t="s">
        <v>29</v>
      </c>
      <c r="J21" s="100">
        <v>10045401</v>
      </c>
      <c r="K21" s="100">
        <v>10030975</v>
      </c>
      <c r="L21" s="100">
        <v>10014324</v>
      </c>
      <c r="M21" s="100">
        <v>9985722</v>
      </c>
      <c r="N21" s="100">
        <v>9931925</v>
      </c>
      <c r="O21" s="100">
        <v>9908798</v>
      </c>
      <c r="P21" s="100">
        <v>9877365</v>
      </c>
      <c r="Q21" s="100">
        <v>9855571</v>
      </c>
      <c r="R21" s="100">
        <v>9830485</v>
      </c>
      <c r="S21" s="100">
        <v>9797561</v>
      </c>
      <c r="T21" s="96">
        <f t="shared" si="5"/>
        <v>2390604.8839999996</v>
      </c>
      <c r="U21" s="96">
        <f t="shared" si="6"/>
        <v>3125421.9589999998</v>
      </c>
      <c r="V21" s="101" t="s">
        <v>29</v>
      </c>
      <c r="W21" s="101">
        <v>9855571</v>
      </c>
      <c r="X21" s="101">
        <v>9789630</v>
      </c>
      <c r="Y21" s="101">
        <v>9665170</v>
      </c>
      <c r="Z21" s="101">
        <v>9471313</v>
      </c>
      <c r="AA21" s="101">
        <v>9287196</v>
      </c>
      <c r="AB21" s="101">
        <v>9119692</v>
      </c>
      <c r="AC21" s="101">
        <v>8883760</v>
      </c>
      <c r="AD21" s="101">
        <v>8691906</v>
      </c>
      <c r="AF21" s="96">
        <f t="shared" si="1"/>
        <v>2410077.06</v>
      </c>
      <c r="AG21" s="96">
        <f t="shared" si="2"/>
        <v>3150879.4350000001</v>
      </c>
      <c r="AH21" s="96">
        <f t="shared" si="3"/>
        <v>2398638.34</v>
      </c>
      <c r="AI21" s="96">
        <f t="shared" si="4"/>
        <v>2390604.8839999996</v>
      </c>
    </row>
    <row r="22" spans="1:35" x14ac:dyDescent="0.3">
      <c r="A22" s="97" t="s">
        <v>20</v>
      </c>
      <c r="B22" s="101">
        <v>5.8</v>
      </c>
      <c r="C22" s="101">
        <v>1.1000000000000001</v>
      </c>
      <c r="D22" s="101">
        <v>3.8</v>
      </c>
      <c r="E22" s="101">
        <v>8.3000000000000007</v>
      </c>
      <c r="F22" s="113">
        <f t="shared" si="0"/>
        <v>19</v>
      </c>
      <c r="G22" s="109">
        <v>21.4</v>
      </c>
      <c r="I22" s="100" t="s">
        <v>20</v>
      </c>
      <c r="J22" s="100">
        <v>407832</v>
      </c>
      <c r="K22" s="100">
        <v>410926</v>
      </c>
      <c r="L22" s="100">
        <v>414027</v>
      </c>
      <c r="M22" s="100">
        <v>414989</v>
      </c>
      <c r="N22" s="100">
        <v>417546</v>
      </c>
      <c r="O22" s="100">
        <v>422509</v>
      </c>
      <c r="P22" s="100">
        <v>429424</v>
      </c>
      <c r="Q22" s="100">
        <v>439691</v>
      </c>
      <c r="R22" s="100">
        <v>450415</v>
      </c>
      <c r="S22" s="100">
        <v>460297</v>
      </c>
      <c r="T22" s="96">
        <f t="shared" si="5"/>
        <v>87456.43</v>
      </c>
      <c r="U22" s="96">
        <f t="shared" si="6"/>
        <v>98503.55799999999</v>
      </c>
      <c r="V22" s="101" t="s">
        <v>20</v>
      </c>
      <c r="W22" s="101">
        <v>429344</v>
      </c>
      <c r="X22" s="101">
        <v>452542</v>
      </c>
      <c r="Y22" s="101">
        <v>488632</v>
      </c>
      <c r="Z22" s="101">
        <v>505921</v>
      </c>
      <c r="AA22" s="101">
        <v>513081</v>
      </c>
      <c r="AB22" s="101">
        <v>519214</v>
      </c>
      <c r="AC22" s="101">
        <v>520864</v>
      </c>
      <c r="AD22" s="101">
        <v>517254</v>
      </c>
      <c r="AF22" s="96">
        <f t="shared" si="1"/>
        <v>81590.559999999998</v>
      </c>
      <c r="AG22" s="96">
        <f t="shared" si="2"/>
        <v>91896.73599999999</v>
      </c>
      <c r="AH22" s="96">
        <f t="shared" si="3"/>
        <v>85578.85</v>
      </c>
      <c r="AI22" s="96">
        <f t="shared" si="4"/>
        <v>87456.43</v>
      </c>
    </row>
    <row r="23" spans="1:35" x14ac:dyDescent="0.3">
      <c r="A23" s="97" t="s">
        <v>18</v>
      </c>
      <c r="B23" s="101">
        <v>5.5</v>
      </c>
      <c r="C23" s="101">
        <v>5.5</v>
      </c>
      <c r="D23" s="101">
        <v>2.2999999999999998</v>
      </c>
      <c r="E23" s="101">
        <v>5.4</v>
      </c>
      <c r="F23" s="113">
        <f t="shared" si="0"/>
        <v>18.700000000000003</v>
      </c>
      <c r="G23" s="109">
        <v>16.8</v>
      </c>
      <c r="I23" s="100" t="s">
        <v>18</v>
      </c>
      <c r="J23" s="100">
        <v>16405399</v>
      </c>
      <c r="K23" s="100">
        <v>16485787</v>
      </c>
      <c r="L23" s="100">
        <v>16574989</v>
      </c>
      <c r="M23" s="100">
        <v>16655799</v>
      </c>
      <c r="N23" s="100">
        <v>16730348</v>
      </c>
      <c r="O23" s="100">
        <v>16779575</v>
      </c>
      <c r="P23" s="100">
        <v>16829289</v>
      </c>
      <c r="Q23" s="100">
        <v>16900726</v>
      </c>
      <c r="R23" s="100">
        <v>16979120</v>
      </c>
      <c r="S23" s="100">
        <v>17081507</v>
      </c>
      <c r="T23" s="96">
        <f t="shared" si="5"/>
        <v>3194241.8090000004</v>
      </c>
      <c r="U23" s="96">
        <f t="shared" si="6"/>
        <v>2869693.1760000004</v>
      </c>
      <c r="V23" s="101" t="s">
        <v>18</v>
      </c>
      <c r="W23" s="101">
        <v>16900726</v>
      </c>
      <c r="X23" s="101">
        <v>17410756</v>
      </c>
      <c r="Y23" s="101">
        <v>18393443</v>
      </c>
      <c r="Z23" s="101">
        <v>19035643</v>
      </c>
      <c r="AA23" s="101">
        <v>19235467</v>
      </c>
      <c r="AB23" s="101">
        <v>19323324</v>
      </c>
      <c r="AC23" s="101">
        <v>19538736</v>
      </c>
      <c r="AD23" s="101">
        <v>19728275</v>
      </c>
      <c r="AF23" s="96">
        <f t="shared" si="1"/>
        <v>3147077.0430000005</v>
      </c>
      <c r="AG23" s="96">
        <f t="shared" si="2"/>
        <v>2827320.5519999997</v>
      </c>
      <c r="AH23" s="96">
        <f t="shared" si="3"/>
        <v>3175095.4400000004</v>
      </c>
      <c r="AI23" s="96">
        <f t="shared" si="4"/>
        <v>3194241.8090000004</v>
      </c>
    </row>
    <row r="24" spans="1:35" x14ac:dyDescent="0.3">
      <c r="A24" s="97" t="s">
        <v>28</v>
      </c>
      <c r="B24" s="101">
        <v>4.4000000000000004</v>
      </c>
      <c r="C24" s="101">
        <v>4.2</v>
      </c>
      <c r="D24" s="101">
        <v>3.2</v>
      </c>
      <c r="E24" s="101">
        <v>4.9000000000000004</v>
      </c>
      <c r="F24" s="113">
        <f t="shared" si="0"/>
        <v>16.700000000000003</v>
      </c>
      <c r="G24" s="109">
        <v>21.1</v>
      </c>
      <c r="I24" s="100" t="s">
        <v>28</v>
      </c>
      <c r="J24" s="100">
        <v>8307989</v>
      </c>
      <c r="K24" s="100">
        <v>8335003</v>
      </c>
      <c r="L24" s="100">
        <v>8351643</v>
      </c>
      <c r="M24" s="100">
        <v>8375164</v>
      </c>
      <c r="N24" s="100">
        <v>8408121</v>
      </c>
      <c r="O24" s="100">
        <v>8451860</v>
      </c>
      <c r="P24" s="100">
        <v>8507786</v>
      </c>
      <c r="Q24" s="100">
        <v>8584926</v>
      </c>
      <c r="R24" s="100">
        <v>8700471</v>
      </c>
      <c r="S24" s="100">
        <v>8772865</v>
      </c>
      <c r="T24" s="96">
        <f t="shared" si="5"/>
        <v>1465068.4550000003</v>
      </c>
      <c r="U24" s="96">
        <f t="shared" si="6"/>
        <v>1851074.5149999999</v>
      </c>
      <c r="V24" s="101" t="s">
        <v>28</v>
      </c>
      <c r="W24" s="101">
        <v>8576261</v>
      </c>
      <c r="X24" s="101">
        <v>9005487</v>
      </c>
      <c r="Y24" s="101">
        <v>9675572</v>
      </c>
      <c r="Z24" s="101">
        <v>10087623</v>
      </c>
      <c r="AA24" s="101">
        <v>10247691</v>
      </c>
      <c r="AB24" s="101">
        <v>10230993</v>
      </c>
      <c r="AC24" s="101">
        <v>10171555</v>
      </c>
      <c r="AD24" s="101">
        <v>10072112</v>
      </c>
      <c r="AF24" s="96">
        <f t="shared" si="1"/>
        <v>1420800.2620000001</v>
      </c>
      <c r="AG24" s="96">
        <f t="shared" si="2"/>
        <v>1795142.8460000001</v>
      </c>
      <c r="AH24" s="96">
        <f t="shared" si="3"/>
        <v>1452978.6570000001</v>
      </c>
      <c r="AI24" s="96">
        <f t="shared" si="4"/>
        <v>1465068.4550000003</v>
      </c>
    </row>
    <row r="25" spans="1:35" x14ac:dyDescent="0.3">
      <c r="A25" s="97" t="s">
        <v>24</v>
      </c>
      <c r="B25" s="101">
        <v>4.0999999999999996</v>
      </c>
      <c r="C25" s="101">
        <v>3.1</v>
      </c>
      <c r="D25" s="101">
        <v>12.1</v>
      </c>
      <c r="E25" s="101">
        <v>6.6</v>
      </c>
      <c r="F25" s="113">
        <f t="shared" si="0"/>
        <v>25.9</v>
      </c>
      <c r="G25" s="109">
        <v>23.1</v>
      </c>
      <c r="I25" s="100" t="s">
        <v>24</v>
      </c>
      <c r="J25" s="100">
        <v>38115641</v>
      </c>
      <c r="K25" s="100">
        <v>38135876</v>
      </c>
      <c r="L25" s="100">
        <v>38022869</v>
      </c>
      <c r="M25" s="100">
        <v>38062718</v>
      </c>
      <c r="N25" s="100">
        <v>38063792</v>
      </c>
      <c r="O25" s="100">
        <v>38062535</v>
      </c>
      <c r="P25" s="100">
        <v>38017856</v>
      </c>
      <c r="Q25" s="100">
        <v>38005614</v>
      </c>
      <c r="R25" s="100">
        <v>37967209</v>
      </c>
      <c r="S25" s="100">
        <v>37972964</v>
      </c>
      <c r="T25" s="96">
        <f t="shared" si="5"/>
        <v>9834997.675999999</v>
      </c>
      <c r="U25" s="96">
        <f t="shared" si="6"/>
        <v>8771754.6840000004</v>
      </c>
      <c r="V25" s="101" t="s">
        <v>24</v>
      </c>
      <c r="W25" s="101">
        <v>38005614</v>
      </c>
      <c r="X25" s="101">
        <v>37930818</v>
      </c>
      <c r="Y25" s="101">
        <v>37213790</v>
      </c>
      <c r="Z25" s="101">
        <v>35840028</v>
      </c>
      <c r="AA25" s="101">
        <v>34372849</v>
      </c>
      <c r="AB25" s="101">
        <v>32848275</v>
      </c>
      <c r="AC25" s="101">
        <v>30966156</v>
      </c>
      <c r="AD25" s="101">
        <v>29044721</v>
      </c>
      <c r="AF25" s="96">
        <f t="shared" si="1"/>
        <v>9846624.7039999999</v>
      </c>
      <c r="AG25" s="96">
        <f t="shared" si="2"/>
        <v>8782124.7359999996</v>
      </c>
      <c r="AH25" s="96">
        <f t="shared" si="3"/>
        <v>9833507.1309999991</v>
      </c>
      <c r="AI25" s="96">
        <f t="shared" si="4"/>
        <v>9834997.675999999</v>
      </c>
    </row>
    <row r="26" spans="1:35" x14ac:dyDescent="0.3">
      <c r="A26" s="97" t="s">
        <v>14</v>
      </c>
      <c r="B26" s="101">
        <v>5</v>
      </c>
      <c r="C26" s="101">
        <v>5.8</v>
      </c>
      <c r="D26" s="101">
        <v>6</v>
      </c>
      <c r="E26" s="101">
        <v>9.3000000000000007</v>
      </c>
      <c r="F26" s="113">
        <f t="shared" si="0"/>
        <v>26.1</v>
      </c>
      <c r="G26" s="109">
        <v>25.3</v>
      </c>
      <c r="I26" s="100" t="s">
        <v>14</v>
      </c>
      <c r="J26" s="100">
        <v>10553339</v>
      </c>
      <c r="K26" s="100">
        <v>10563014</v>
      </c>
      <c r="L26" s="100">
        <v>10573479</v>
      </c>
      <c r="M26" s="100">
        <v>10572721</v>
      </c>
      <c r="N26" s="100">
        <v>10542398</v>
      </c>
      <c r="O26" s="100">
        <v>10487289</v>
      </c>
      <c r="P26" s="100">
        <v>10427301</v>
      </c>
      <c r="Q26" s="100">
        <v>10374822</v>
      </c>
      <c r="R26" s="100">
        <v>10341330</v>
      </c>
      <c r="S26" s="100">
        <v>10309573</v>
      </c>
      <c r="T26" s="96">
        <f t="shared" si="5"/>
        <v>2690798.5530000003</v>
      </c>
      <c r="U26" s="96">
        <f t="shared" si="6"/>
        <v>2608321.969</v>
      </c>
      <c r="V26" s="101" t="s">
        <v>14</v>
      </c>
      <c r="W26" s="101">
        <v>10374822</v>
      </c>
      <c r="X26" s="101">
        <v>10209628</v>
      </c>
      <c r="Y26" s="101">
        <v>9880173</v>
      </c>
      <c r="Z26" s="101">
        <v>9553608</v>
      </c>
      <c r="AA26" s="101">
        <v>9116350</v>
      </c>
      <c r="AB26" s="101">
        <v>8552352</v>
      </c>
      <c r="AC26" s="101">
        <v>8008741</v>
      </c>
      <c r="AD26" s="101">
        <v>7579557</v>
      </c>
      <c r="AF26" s="96">
        <f t="shared" si="1"/>
        <v>2721525.5610000002</v>
      </c>
      <c r="AG26" s="96">
        <f t="shared" si="2"/>
        <v>2638107.1529999999</v>
      </c>
      <c r="AH26" s="96">
        <f t="shared" si="3"/>
        <v>2699087.13</v>
      </c>
      <c r="AI26" s="96">
        <f t="shared" si="4"/>
        <v>2690798.5530000003</v>
      </c>
    </row>
    <row r="27" spans="1:35" x14ac:dyDescent="0.3">
      <c r="A27" s="97" t="s">
        <v>37</v>
      </c>
      <c r="B27" s="101">
        <v>2</v>
      </c>
      <c r="C27" s="101">
        <v>2</v>
      </c>
      <c r="D27" s="101">
        <v>4.5999999999999996</v>
      </c>
      <c r="E27" s="101">
        <v>4.8</v>
      </c>
      <c r="F27" s="113">
        <f t="shared" si="0"/>
        <v>13.399999999999999</v>
      </c>
      <c r="G27" s="109">
        <v>17.100000000000001</v>
      </c>
      <c r="I27" s="100" t="s">
        <v>37</v>
      </c>
      <c r="J27" s="100">
        <v>20635460</v>
      </c>
      <c r="K27" s="100">
        <v>20440290</v>
      </c>
      <c r="L27" s="100">
        <v>20294683</v>
      </c>
      <c r="M27" s="100">
        <v>20199059</v>
      </c>
      <c r="N27" s="100">
        <v>20095996</v>
      </c>
      <c r="O27" s="100">
        <v>20020074</v>
      </c>
      <c r="P27" s="100">
        <v>19947311</v>
      </c>
      <c r="Q27" s="100">
        <v>19870647</v>
      </c>
      <c r="R27" s="100">
        <v>19760314</v>
      </c>
      <c r="S27" s="100">
        <v>19644350</v>
      </c>
      <c r="T27" s="96">
        <f t="shared" si="5"/>
        <v>2632342.9</v>
      </c>
      <c r="U27" s="96">
        <f t="shared" si="6"/>
        <v>3359183.85</v>
      </c>
      <c r="V27" s="101" t="s">
        <v>37</v>
      </c>
      <c r="W27" s="101">
        <v>19870647</v>
      </c>
      <c r="X27" s="101">
        <v>19259049</v>
      </c>
      <c r="Y27" s="101">
        <v>18023954</v>
      </c>
      <c r="Z27" s="101">
        <v>17069777</v>
      </c>
      <c r="AA27" s="101">
        <v>16331359</v>
      </c>
      <c r="AB27" s="101">
        <v>15698753</v>
      </c>
      <c r="AC27" s="101">
        <v>15015303</v>
      </c>
      <c r="AD27" s="101">
        <v>14530142</v>
      </c>
      <c r="AF27" s="96">
        <f t="shared" si="1"/>
        <v>2672939.6739999996</v>
      </c>
      <c r="AG27" s="96">
        <f t="shared" si="2"/>
        <v>3410990.1810000003</v>
      </c>
      <c r="AH27" s="96">
        <f t="shared" si="3"/>
        <v>2647882.0759999994</v>
      </c>
      <c r="AI27" s="96">
        <f t="shared" si="4"/>
        <v>2632342.9</v>
      </c>
    </row>
    <row r="28" spans="1:35" x14ac:dyDescent="0.3">
      <c r="A28" s="97" t="s">
        <v>16</v>
      </c>
      <c r="B28" s="101">
        <v>5</v>
      </c>
      <c r="C28" s="101">
        <v>4.0999999999999996</v>
      </c>
      <c r="D28" s="101">
        <v>4.5</v>
      </c>
      <c r="E28" s="101">
        <v>6.9</v>
      </c>
      <c r="F28" s="113">
        <f t="shared" si="0"/>
        <v>20.5</v>
      </c>
      <c r="G28" s="109">
        <v>24.8</v>
      </c>
      <c r="I28" s="100" t="s">
        <v>16</v>
      </c>
      <c r="J28" s="100">
        <v>2010269</v>
      </c>
      <c r="K28" s="100">
        <v>2032362</v>
      </c>
      <c r="L28" s="100">
        <v>2046976</v>
      </c>
      <c r="M28" s="100">
        <v>2050189</v>
      </c>
      <c r="N28" s="100">
        <v>2055496</v>
      </c>
      <c r="O28" s="100">
        <v>2058821</v>
      </c>
      <c r="P28" s="100">
        <v>2061085</v>
      </c>
      <c r="Q28" s="100">
        <v>2062874</v>
      </c>
      <c r="R28" s="100">
        <v>2064188</v>
      </c>
      <c r="S28" s="100">
        <v>2065895</v>
      </c>
      <c r="T28" s="96">
        <f t="shared" si="5"/>
        <v>423508.47499999998</v>
      </c>
      <c r="U28" s="96">
        <f t="shared" si="6"/>
        <v>512341.96</v>
      </c>
      <c r="V28" s="101" t="s">
        <v>16</v>
      </c>
      <c r="W28" s="101">
        <v>2062874</v>
      </c>
      <c r="X28" s="101">
        <v>2075778</v>
      </c>
      <c r="Y28" s="101">
        <v>2080145</v>
      </c>
      <c r="Z28" s="101">
        <v>2066086</v>
      </c>
      <c r="AA28" s="101">
        <v>2045090</v>
      </c>
      <c r="AB28" s="101">
        <v>2000454</v>
      </c>
      <c r="AC28" s="101">
        <v>1956522</v>
      </c>
      <c r="AD28" s="101">
        <v>1938449</v>
      </c>
      <c r="AF28" s="96">
        <f t="shared" si="1"/>
        <v>422522.42499999999</v>
      </c>
      <c r="AG28" s="96">
        <f t="shared" si="2"/>
        <v>511149.08</v>
      </c>
      <c r="AH28" s="96">
        <f t="shared" si="3"/>
        <v>423158.54</v>
      </c>
      <c r="AI28" s="96">
        <f t="shared" si="4"/>
        <v>423508.47499999998</v>
      </c>
    </row>
    <row r="29" spans="1:35" x14ac:dyDescent="0.3">
      <c r="A29" s="97" t="s">
        <v>51</v>
      </c>
      <c r="B29" s="101">
        <v>3.9</v>
      </c>
      <c r="C29" s="101">
        <v>2.7</v>
      </c>
      <c r="D29" s="101">
        <v>8.5</v>
      </c>
      <c r="E29" s="101">
        <v>6.9</v>
      </c>
      <c r="F29" s="113">
        <f t="shared" si="0"/>
        <v>22</v>
      </c>
      <c r="G29" s="109">
        <v>25.8</v>
      </c>
      <c r="I29" s="100" t="s">
        <v>51</v>
      </c>
      <c r="J29" s="100">
        <v>5376064</v>
      </c>
      <c r="K29" s="100">
        <v>5382401</v>
      </c>
      <c r="L29" s="100">
        <v>5390410</v>
      </c>
      <c r="M29" s="100">
        <v>5392446</v>
      </c>
      <c r="N29" s="100">
        <v>5404322</v>
      </c>
      <c r="O29" s="100">
        <v>5410836</v>
      </c>
      <c r="P29" s="100">
        <v>5415949</v>
      </c>
      <c r="Q29" s="100">
        <v>5421349</v>
      </c>
      <c r="R29" s="100">
        <v>5426252</v>
      </c>
      <c r="S29" s="100">
        <v>5435343</v>
      </c>
      <c r="T29" s="96">
        <f t="shared" si="5"/>
        <v>1195775.46</v>
      </c>
      <c r="U29" s="96">
        <f t="shared" si="6"/>
        <v>1402318.4939999999</v>
      </c>
      <c r="V29" s="101" t="s">
        <v>51</v>
      </c>
      <c r="W29" s="101">
        <v>5421349</v>
      </c>
      <c r="X29" s="101">
        <v>5458718</v>
      </c>
      <c r="Y29" s="101">
        <v>5464199</v>
      </c>
      <c r="Z29" s="101">
        <v>5373043</v>
      </c>
      <c r="AA29" s="101">
        <v>5261609</v>
      </c>
      <c r="AB29" s="101">
        <v>5114570</v>
      </c>
      <c r="AC29" s="101">
        <v>4908905</v>
      </c>
      <c r="AD29" s="101">
        <v>4714770</v>
      </c>
      <c r="AF29" s="96">
        <f t="shared" si="1"/>
        <v>1191508.78</v>
      </c>
      <c r="AG29" s="96">
        <f t="shared" si="2"/>
        <v>1397314.8420000002</v>
      </c>
      <c r="AH29" s="96">
        <f t="shared" si="3"/>
        <v>1193775.44</v>
      </c>
      <c r="AI29" s="96">
        <f t="shared" si="4"/>
        <v>1195775.46</v>
      </c>
    </row>
    <row r="30" spans="1:35" x14ac:dyDescent="0.3">
      <c r="A30" s="97" t="s">
        <v>17</v>
      </c>
      <c r="B30" s="101">
        <v>9.1999999999999993</v>
      </c>
      <c r="C30" s="101">
        <v>3</v>
      </c>
      <c r="D30" s="101">
        <v>6.7</v>
      </c>
      <c r="E30" s="101">
        <v>7.7</v>
      </c>
      <c r="F30" s="113">
        <f t="shared" si="0"/>
        <v>26.599999999999998</v>
      </c>
      <c r="G30" s="109">
        <v>24.9</v>
      </c>
      <c r="I30" s="100" t="s">
        <v>17</v>
      </c>
      <c r="J30" s="100">
        <v>5300484</v>
      </c>
      <c r="K30" s="100">
        <v>5326314</v>
      </c>
      <c r="L30" s="100">
        <v>5351427</v>
      </c>
      <c r="M30" s="100">
        <v>5375276</v>
      </c>
      <c r="N30" s="100">
        <v>5401267</v>
      </c>
      <c r="O30" s="100">
        <v>5426674</v>
      </c>
      <c r="P30" s="100">
        <v>5451270</v>
      </c>
      <c r="Q30" s="100">
        <v>5471753</v>
      </c>
      <c r="R30" s="100">
        <v>5487308</v>
      </c>
      <c r="S30" s="100">
        <v>5503297</v>
      </c>
      <c r="T30" s="96">
        <f t="shared" si="5"/>
        <v>1463877.0019999999</v>
      </c>
      <c r="U30" s="96">
        <f t="shared" si="6"/>
        <v>1370320.9529999997</v>
      </c>
      <c r="V30" s="101" t="s">
        <v>17</v>
      </c>
      <c r="W30" s="101">
        <v>5471753</v>
      </c>
      <c r="X30" s="101">
        <v>5561792</v>
      </c>
      <c r="Y30" s="101">
        <v>5697608</v>
      </c>
      <c r="Z30" s="101">
        <v>5722378</v>
      </c>
      <c r="AA30" s="101">
        <v>5687527</v>
      </c>
      <c r="AB30" s="101">
        <v>5654618</v>
      </c>
      <c r="AC30" s="101">
        <v>5626229</v>
      </c>
      <c r="AD30" s="101">
        <v>5577757</v>
      </c>
      <c r="AF30" s="96">
        <f t="shared" si="1"/>
        <v>1450037.82</v>
      </c>
      <c r="AG30" s="96">
        <f t="shared" si="2"/>
        <v>1357366.23</v>
      </c>
      <c r="AH30" s="96">
        <f t="shared" si="3"/>
        <v>1459623.9279999998</v>
      </c>
      <c r="AI30" s="96">
        <f t="shared" si="4"/>
        <v>1463877.0019999999</v>
      </c>
    </row>
    <row r="31" spans="1:35" x14ac:dyDescent="0.3">
      <c r="A31" s="97" t="s">
        <v>19</v>
      </c>
      <c r="B31" s="101">
        <v>7.6</v>
      </c>
      <c r="C31" s="101">
        <v>1.5</v>
      </c>
      <c r="D31" s="101">
        <v>2.7</v>
      </c>
      <c r="E31" s="101">
        <v>4.8</v>
      </c>
      <c r="F31" s="113">
        <f t="shared" si="0"/>
        <v>16.600000000000001</v>
      </c>
      <c r="G31" s="109">
        <v>16.2</v>
      </c>
      <c r="I31" s="100" t="s">
        <v>19</v>
      </c>
      <c r="J31" s="100">
        <v>9182927</v>
      </c>
      <c r="K31" s="100">
        <v>9256347</v>
      </c>
      <c r="L31" s="100">
        <v>9340682</v>
      </c>
      <c r="M31" s="100">
        <v>9415570</v>
      </c>
      <c r="N31" s="100">
        <v>9482855</v>
      </c>
      <c r="O31" s="100">
        <v>9555893</v>
      </c>
      <c r="P31" s="100">
        <v>9644864</v>
      </c>
      <c r="Q31" s="100">
        <v>9747355</v>
      </c>
      <c r="R31" s="100">
        <v>9851017</v>
      </c>
      <c r="S31" s="100">
        <v>9995153</v>
      </c>
      <c r="T31" s="96">
        <f t="shared" si="5"/>
        <v>1659195.398</v>
      </c>
      <c r="U31" s="96">
        <f t="shared" si="6"/>
        <v>1619214.7859999998</v>
      </c>
      <c r="V31" s="101" t="s">
        <v>19</v>
      </c>
      <c r="W31" s="101">
        <v>9747355</v>
      </c>
      <c r="X31" s="101">
        <v>10293412</v>
      </c>
      <c r="Y31" s="101">
        <v>11237236</v>
      </c>
      <c r="Z31" s="101">
        <v>11994364</v>
      </c>
      <c r="AA31" s="101">
        <v>12681084</v>
      </c>
      <c r="AB31" s="101">
        <v>13284780</v>
      </c>
      <c r="AC31" s="101">
        <v>13842072</v>
      </c>
      <c r="AD31" s="101">
        <v>14388478</v>
      </c>
      <c r="AF31" s="96">
        <f t="shared" si="1"/>
        <v>1601047.4240000001</v>
      </c>
      <c r="AG31" s="96">
        <f t="shared" si="2"/>
        <v>1562467.9679999999</v>
      </c>
      <c r="AH31" s="96">
        <f t="shared" si="3"/>
        <v>1635268.8220000002</v>
      </c>
      <c r="AI31" s="96">
        <f t="shared" si="4"/>
        <v>1659195.398</v>
      </c>
    </row>
    <row r="32" spans="1:35" x14ac:dyDescent="0.3">
      <c r="A32" s="102" t="s">
        <v>25</v>
      </c>
      <c r="B32" s="103">
        <v>9.4</v>
      </c>
      <c r="C32" s="103">
        <v>2.6</v>
      </c>
      <c r="D32" s="103">
        <v>4.4000000000000004</v>
      </c>
      <c r="E32" s="103">
        <v>5.8</v>
      </c>
      <c r="F32" s="113">
        <f t="shared" si="0"/>
        <v>22.2</v>
      </c>
      <c r="G32" s="110">
        <v>16.399999999999999</v>
      </c>
      <c r="I32" s="100" t="s">
        <v>25</v>
      </c>
      <c r="J32" s="100">
        <v>61571647</v>
      </c>
      <c r="K32" s="100">
        <v>62042343</v>
      </c>
      <c r="L32" s="100">
        <v>62510197</v>
      </c>
      <c r="M32" s="100">
        <v>63022532</v>
      </c>
      <c r="N32" s="100">
        <v>63495303</v>
      </c>
      <c r="O32" s="100">
        <v>63905297</v>
      </c>
      <c r="P32" s="100">
        <v>64351155</v>
      </c>
      <c r="Q32" s="100">
        <v>64875165</v>
      </c>
      <c r="R32" s="100">
        <v>65382556</v>
      </c>
      <c r="S32" s="100">
        <v>65808573</v>
      </c>
      <c r="T32" s="96">
        <f t="shared" si="5"/>
        <v>14609503.205999998</v>
      </c>
      <c r="U32" s="96">
        <f t="shared" si="6"/>
        <v>10792605.971999997</v>
      </c>
      <c r="V32" s="101" t="s">
        <v>25</v>
      </c>
      <c r="W32" s="101">
        <v>64875165</v>
      </c>
      <c r="X32" s="101">
        <v>67236507</v>
      </c>
      <c r="Y32" s="101">
        <v>71563991</v>
      </c>
      <c r="Z32" s="101">
        <v>75004352</v>
      </c>
      <c r="AA32" s="101">
        <v>77568588</v>
      </c>
      <c r="AB32" s="101">
        <v>79338994</v>
      </c>
      <c r="AC32" s="101">
        <v>80959872</v>
      </c>
      <c r="AD32" s="101">
        <v>82424395</v>
      </c>
      <c r="AF32" s="96">
        <f t="shared" si="1"/>
        <v>14285956.41</v>
      </c>
      <c r="AG32" s="96">
        <f t="shared" si="2"/>
        <v>10553589.419999998</v>
      </c>
      <c r="AH32" s="96">
        <f t="shared" si="3"/>
        <v>14514927.432</v>
      </c>
      <c r="AI32" s="96">
        <f t="shared" si="4"/>
        <v>14609503.205999998</v>
      </c>
    </row>
    <row r="33" spans="1:30" x14ac:dyDescent="0.3">
      <c r="A33" s="104"/>
      <c r="B33" s="105"/>
      <c r="C33" s="105"/>
      <c r="D33" s="105"/>
      <c r="E33" s="105"/>
      <c r="F33" s="114"/>
      <c r="G33" s="111"/>
      <c r="U33" s="96">
        <f t="shared" si="6"/>
        <v>0</v>
      </c>
    </row>
    <row r="34" spans="1:30" x14ac:dyDescent="0.3">
      <c r="A34" s="106" t="s">
        <v>31</v>
      </c>
      <c r="B34" s="107">
        <v>8.9</v>
      </c>
      <c r="C34" s="107">
        <v>3.9</v>
      </c>
      <c r="D34" s="107">
        <v>5.7</v>
      </c>
      <c r="E34" s="107">
        <v>4.3</v>
      </c>
      <c r="F34" s="113">
        <f t="shared" si="0"/>
        <v>22.8</v>
      </c>
      <c r="G34" s="109">
        <v>19.399999999999999</v>
      </c>
      <c r="I34" s="96" t="s">
        <v>31</v>
      </c>
      <c r="J34" s="96">
        <v>315459</v>
      </c>
      <c r="K34" s="96">
        <v>319368</v>
      </c>
      <c r="L34" s="96">
        <v>317630</v>
      </c>
      <c r="M34" s="96">
        <v>318452</v>
      </c>
      <c r="N34" s="96">
        <v>319575</v>
      </c>
      <c r="O34" s="96">
        <v>321857</v>
      </c>
      <c r="P34" s="96">
        <v>325671</v>
      </c>
      <c r="Q34" s="96">
        <v>329100</v>
      </c>
      <c r="R34" s="96">
        <v>332529</v>
      </c>
      <c r="S34" s="96">
        <v>338349</v>
      </c>
      <c r="T34" s="96">
        <f t="shared" si="5"/>
        <v>77143.572</v>
      </c>
      <c r="U34" s="96">
        <f t="shared" si="6"/>
        <v>65639.705999999991</v>
      </c>
    </row>
    <row r="35" spans="1:30" x14ac:dyDescent="0.3">
      <c r="A35" s="106" t="s">
        <v>32</v>
      </c>
      <c r="B35" s="107">
        <v>6.7</v>
      </c>
      <c r="C35" s="107">
        <v>2.6</v>
      </c>
      <c r="D35" s="107">
        <v>3.2</v>
      </c>
      <c r="E35" s="107">
        <v>4.2</v>
      </c>
      <c r="F35" s="113">
        <f t="shared" si="0"/>
        <v>16.7</v>
      </c>
      <c r="G35" s="109">
        <v>12.7</v>
      </c>
      <c r="I35" s="96" t="s">
        <v>32</v>
      </c>
      <c r="J35" s="96">
        <v>4737171</v>
      </c>
      <c r="K35" s="96">
        <v>4799252</v>
      </c>
      <c r="L35" s="96">
        <v>4858199</v>
      </c>
      <c r="M35" s="96">
        <v>4920305</v>
      </c>
      <c r="N35" s="96">
        <v>4985870</v>
      </c>
      <c r="O35" s="96">
        <v>5051275</v>
      </c>
      <c r="P35" s="96">
        <v>5107970</v>
      </c>
      <c r="Q35" s="96">
        <v>5166493</v>
      </c>
      <c r="R35" s="96">
        <v>5210721</v>
      </c>
      <c r="S35" s="96">
        <v>5258317</v>
      </c>
      <c r="T35" s="96">
        <f t="shared" si="5"/>
        <v>878138.9389999999</v>
      </c>
      <c r="U35" s="96">
        <f t="shared" si="6"/>
        <v>667806.25899999996</v>
      </c>
      <c r="V35" s="96" t="s">
        <v>32</v>
      </c>
      <c r="W35" s="96">
        <v>5166493</v>
      </c>
      <c r="X35" s="96">
        <v>5403704</v>
      </c>
      <c r="Y35" s="96">
        <v>5878930</v>
      </c>
      <c r="Z35" s="96">
        <v>6268216</v>
      </c>
      <c r="AA35" s="96">
        <v>6568489</v>
      </c>
      <c r="AB35" s="96">
        <v>6807913</v>
      </c>
      <c r="AC35" s="96">
        <v>7005719</v>
      </c>
      <c r="AD35" s="96">
        <v>7166280</v>
      </c>
    </row>
    <row r="36" spans="1:30" x14ac:dyDescent="0.3">
      <c r="A36" s="106" t="s">
        <v>40</v>
      </c>
      <c r="B36" s="107">
        <v>7.9</v>
      </c>
      <c r="C36" s="107">
        <v>7.7</v>
      </c>
      <c r="D36" s="107">
        <v>10.5</v>
      </c>
      <c r="E36" s="107">
        <v>9</v>
      </c>
      <c r="F36" s="113">
        <f t="shared" si="0"/>
        <v>35.1</v>
      </c>
      <c r="G36" s="109">
        <v>16.100000000000001</v>
      </c>
      <c r="I36" s="96" t="s">
        <v>40</v>
      </c>
      <c r="J36" s="96">
        <v>70586256</v>
      </c>
      <c r="K36" s="96">
        <v>71517100</v>
      </c>
      <c r="L36" s="96">
        <v>72561312</v>
      </c>
      <c r="M36" s="96">
        <v>73722988</v>
      </c>
      <c r="N36" s="96">
        <v>74724269</v>
      </c>
      <c r="O36" s="96">
        <v>75627384</v>
      </c>
      <c r="P36" s="96">
        <v>76667864</v>
      </c>
      <c r="Q36" s="96">
        <v>77695904</v>
      </c>
      <c r="R36" s="96">
        <v>78741053</v>
      </c>
      <c r="S36" s="96">
        <v>79814871</v>
      </c>
      <c r="T36" s="96">
        <f t="shared" si="5"/>
        <v>28015019.721000001</v>
      </c>
      <c r="U36" s="96">
        <f t="shared" si="6"/>
        <v>12850194.231000001</v>
      </c>
    </row>
    <row r="37" spans="1:30" x14ac:dyDescent="0.3">
      <c r="F37" s="112">
        <v>24</v>
      </c>
      <c r="I37" s="96" t="s">
        <v>158</v>
      </c>
      <c r="R37" s="96">
        <v>37810</v>
      </c>
      <c r="S37" s="96">
        <v>38111</v>
      </c>
      <c r="T37" s="96">
        <f t="shared" si="5"/>
        <v>9146.64</v>
      </c>
      <c r="U37" s="96">
        <f t="shared" si="6"/>
        <v>0</v>
      </c>
    </row>
    <row r="39" spans="1:30" x14ac:dyDescent="0.3">
      <c r="R39" s="96" t="s">
        <v>159</v>
      </c>
    </row>
  </sheetData>
  <mergeCells count="3">
    <mergeCell ref="A1:G1"/>
    <mergeCell ref="I1:S1"/>
    <mergeCell ref="V1:AD1"/>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topLeftCell="E43" zoomScale="90" zoomScaleNormal="70" workbookViewId="0">
      <selection activeCell="N66" sqref="N66"/>
    </sheetView>
  </sheetViews>
  <sheetFormatPr defaultRowHeight="14.5" x14ac:dyDescent="0.35"/>
  <cols>
    <col min="1" max="1" width="34.6328125" style="96" bestFit="1" customWidth="1"/>
    <col min="3" max="3" width="41" bestFit="1" customWidth="1"/>
    <col min="14" max="14" width="12.1796875" bestFit="1" customWidth="1"/>
    <col min="15" max="15" width="41" bestFit="1" customWidth="1"/>
    <col min="16" max="24" width="10.08984375" bestFit="1" customWidth="1"/>
    <col min="25" max="25" width="1.54296875" bestFit="1" customWidth="1"/>
  </cols>
  <sheetData>
    <row r="1" spans="1:25" ht="29.4" customHeight="1" x14ac:dyDescent="0.35">
      <c r="A1" t="s">
        <v>132</v>
      </c>
      <c r="C1" s="159" t="s">
        <v>138</v>
      </c>
      <c r="D1" s="159"/>
      <c r="E1" s="159"/>
      <c r="F1" s="159"/>
      <c r="G1" s="159"/>
      <c r="H1" s="159"/>
      <c r="I1" s="159"/>
      <c r="J1" s="159"/>
      <c r="K1" s="159"/>
      <c r="L1" s="159"/>
      <c r="M1" s="159"/>
      <c r="O1" s="116" t="s">
        <v>137</v>
      </c>
      <c r="P1" s="6"/>
      <c r="Q1" s="6"/>
      <c r="R1" s="6"/>
      <c r="S1" s="6"/>
      <c r="T1" s="6"/>
      <c r="U1" s="6"/>
      <c r="V1" s="6"/>
      <c r="W1" s="6"/>
      <c r="X1" s="6"/>
      <c r="Y1">
        <v>2016</v>
      </c>
    </row>
    <row r="2" spans="1:25" x14ac:dyDescent="0.35">
      <c r="A2" s="97" t="s">
        <v>125</v>
      </c>
      <c r="C2" s="116" t="s">
        <v>125</v>
      </c>
      <c r="D2" s="116">
        <v>2007</v>
      </c>
      <c r="E2" s="116">
        <v>2008</v>
      </c>
      <c r="F2" s="116">
        <v>2009</v>
      </c>
      <c r="G2" s="116">
        <v>2010</v>
      </c>
      <c r="H2" s="116">
        <v>2011</v>
      </c>
      <c r="I2" s="116">
        <v>2012</v>
      </c>
      <c r="J2" s="116">
        <v>2013</v>
      </c>
      <c r="K2" s="116">
        <v>2014</v>
      </c>
      <c r="L2" s="116">
        <v>2015</v>
      </c>
      <c r="M2" s="116">
        <v>2016</v>
      </c>
      <c r="O2" s="6" t="s">
        <v>125</v>
      </c>
      <c r="P2" s="6">
        <v>2007</v>
      </c>
      <c r="Q2" s="6">
        <v>2008</v>
      </c>
      <c r="R2" s="6">
        <v>2009</v>
      </c>
      <c r="S2" s="6">
        <v>2010</v>
      </c>
      <c r="T2" s="6">
        <v>2011</v>
      </c>
      <c r="U2" s="6">
        <v>2012</v>
      </c>
      <c r="V2" s="6">
        <v>2013</v>
      </c>
      <c r="W2" s="6">
        <v>2014</v>
      </c>
      <c r="X2" s="6">
        <v>2015</v>
      </c>
    </row>
    <row r="3" spans="1:25" x14ac:dyDescent="0.35">
      <c r="A3" s="97" t="s">
        <v>48</v>
      </c>
      <c r="C3" s="116"/>
      <c r="D3" s="116"/>
      <c r="E3" s="116"/>
      <c r="F3" s="116"/>
      <c r="G3" s="116"/>
      <c r="H3" s="116"/>
      <c r="I3" s="116"/>
      <c r="J3" s="116"/>
      <c r="K3" s="116"/>
      <c r="L3" s="116"/>
      <c r="M3" s="116"/>
      <c r="O3" s="6"/>
      <c r="P3" s="6"/>
      <c r="Q3" s="6"/>
      <c r="R3" s="6"/>
      <c r="S3" s="6"/>
      <c r="T3" s="6"/>
      <c r="U3" s="6"/>
      <c r="V3" s="6"/>
      <c r="W3" s="6"/>
      <c r="X3" s="6"/>
    </row>
    <row r="4" spans="1:25" x14ac:dyDescent="0.35">
      <c r="A4" s="97" t="s">
        <v>22</v>
      </c>
      <c r="C4" s="6" t="s">
        <v>22</v>
      </c>
      <c r="D4" s="6">
        <v>6.47</v>
      </c>
      <c r="E4" s="6">
        <v>6.75</v>
      </c>
      <c r="F4" s="6">
        <v>6.85</v>
      </c>
      <c r="G4" s="6">
        <v>6.62</v>
      </c>
      <c r="H4" s="6">
        <v>6.68</v>
      </c>
      <c r="I4" s="6">
        <v>6.71</v>
      </c>
      <c r="J4" s="6">
        <v>6.67</v>
      </c>
      <c r="K4" s="6">
        <v>6.67</v>
      </c>
      <c r="L4" s="6">
        <v>6.76</v>
      </c>
      <c r="M4" s="6"/>
      <c r="N4">
        <f>K4*Population!P5</f>
        <v>74576202.799999997</v>
      </c>
      <c r="O4" s="6" t="s">
        <v>22</v>
      </c>
      <c r="P4" s="6"/>
      <c r="Q4" s="6"/>
      <c r="R4" s="6"/>
      <c r="S4" s="6"/>
      <c r="T4" s="6"/>
      <c r="U4" s="6"/>
      <c r="V4" s="6"/>
      <c r="W4" s="6"/>
      <c r="X4" s="6"/>
    </row>
    <row r="5" spans="1:25" x14ac:dyDescent="0.35">
      <c r="A5" s="97" t="s">
        <v>35</v>
      </c>
      <c r="C5" s="6" t="s">
        <v>35</v>
      </c>
      <c r="D5" s="6"/>
      <c r="E5" s="6"/>
      <c r="F5" s="6"/>
      <c r="G5" s="6"/>
      <c r="H5" s="6"/>
      <c r="I5" s="6"/>
      <c r="J5" s="6"/>
      <c r="K5" s="6">
        <v>5.9</v>
      </c>
      <c r="L5" s="6">
        <v>5.9</v>
      </c>
      <c r="M5" s="6"/>
      <c r="N5">
        <f>K5*Population!P6</f>
        <v>42749494.300000004</v>
      </c>
      <c r="O5" s="6" t="s">
        <v>35</v>
      </c>
      <c r="P5" s="6"/>
      <c r="Q5" s="6"/>
      <c r="R5" s="6"/>
      <c r="S5" s="6"/>
      <c r="T5" s="6"/>
      <c r="U5" s="6"/>
      <c r="V5" s="6"/>
      <c r="W5" s="6"/>
      <c r="X5" s="6"/>
    </row>
    <row r="6" spans="1:25" x14ac:dyDescent="0.35">
      <c r="A6" s="97" t="s">
        <v>38</v>
      </c>
      <c r="C6" s="6" t="s">
        <v>38</v>
      </c>
      <c r="D6" s="6">
        <v>12.6</v>
      </c>
      <c r="E6" s="6">
        <v>11.4</v>
      </c>
      <c r="F6" s="6">
        <v>11.21</v>
      </c>
      <c r="G6" s="6">
        <v>11.02</v>
      </c>
      <c r="H6" s="6">
        <v>11.13</v>
      </c>
      <c r="I6" s="6">
        <v>11.08</v>
      </c>
      <c r="J6" s="6">
        <v>11.09</v>
      </c>
      <c r="K6" s="6"/>
      <c r="L6" s="6"/>
      <c r="M6" s="6"/>
      <c r="O6" s="6" t="s">
        <v>38</v>
      </c>
      <c r="P6" s="6">
        <v>2.5099999999999998</v>
      </c>
      <c r="Q6" s="6">
        <v>2.39</v>
      </c>
      <c r="R6" s="6">
        <v>2.4</v>
      </c>
      <c r="S6" s="6">
        <v>2.38</v>
      </c>
      <c r="T6" s="6">
        <v>2.38</v>
      </c>
      <c r="U6" s="6">
        <v>2.37</v>
      </c>
      <c r="V6" s="6">
        <v>2.42</v>
      </c>
      <c r="W6" s="6"/>
      <c r="X6" s="6"/>
    </row>
    <row r="7" spans="1:25" x14ac:dyDescent="0.35">
      <c r="A7" s="97" t="s">
        <v>26</v>
      </c>
      <c r="C7" s="6" t="s">
        <v>26</v>
      </c>
      <c r="D7" s="6">
        <v>4.5</v>
      </c>
      <c r="E7" s="6">
        <v>4.5999999999999996</v>
      </c>
      <c r="F7" s="6">
        <v>4.5999999999999996</v>
      </c>
      <c r="G7" s="6">
        <v>4.5999999999999996</v>
      </c>
      <c r="H7" s="6">
        <v>4.8</v>
      </c>
      <c r="I7" s="6">
        <v>4.7</v>
      </c>
      <c r="J7" s="6">
        <v>4.5999999999999996</v>
      </c>
      <c r="K7" s="6">
        <v>4.5</v>
      </c>
      <c r="L7" s="6">
        <v>4.4000000000000004</v>
      </c>
      <c r="M7" s="6">
        <v>4.3</v>
      </c>
      <c r="N7">
        <f>K7*Population!P8</f>
        <v>25322557.5</v>
      </c>
      <c r="O7" s="6" t="s">
        <v>26</v>
      </c>
      <c r="P7" s="6"/>
      <c r="Q7" s="6"/>
      <c r="R7" s="6"/>
      <c r="S7" s="6"/>
      <c r="T7" s="6"/>
      <c r="U7" s="6"/>
      <c r="V7" s="6"/>
      <c r="W7" s="6"/>
      <c r="X7" s="6"/>
    </row>
    <row r="8" spans="1:25" x14ac:dyDescent="0.35">
      <c r="A8" s="97" t="s">
        <v>49</v>
      </c>
      <c r="C8" s="6" t="s">
        <v>49</v>
      </c>
      <c r="D8" s="6">
        <v>8.1</v>
      </c>
      <c r="E8" s="6">
        <v>8.6</v>
      </c>
      <c r="F8" s="6">
        <v>9.1999999999999993</v>
      </c>
      <c r="G8" s="6">
        <v>9.9</v>
      </c>
      <c r="H8" s="6">
        <v>9.6999999999999993</v>
      </c>
      <c r="I8" s="6">
        <v>9.6999999999999993</v>
      </c>
      <c r="J8" s="6">
        <v>9.9</v>
      </c>
      <c r="K8" s="6">
        <v>9.9</v>
      </c>
      <c r="L8" s="6">
        <v>10</v>
      </c>
      <c r="M8" s="6"/>
      <c r="N8">
        <f>K8*Population!P9</f>
        <v>799597883.70000005</v>
      </c>
      <c r="O8" s="6" t="s">
        <v>49</v>
      </c>
      <c r="P8" s="6"/>
      <c r="Q8" s="6"/>
      <c r="R8" s="6"/>
      <c r="S8" s="6"/>
      <c r="T8" s="6"/>
      <c r="U8" s="6"/>
      <c r="V8" s="6"/>
      <c r="W8" s="6"/>
      <c r="X8" s="6"/>
    </row>
    <row r="9" spans="1:25" x14ac:dyDescent="0.35">
      <c r="A9" s="97" t="s">
        <v>27</v>
      </c>
      <c r="C9" s="6" t="s">
        <v>27</v>
      </c>
      <c r="D9" s="6">
        <v>6.63</v>
      </c>
      <c r="E9" s="6">
        <v>6.55</v>
      </c>
      <c r="F9" s="6">
        <v>6.32</v>
      </c>
      <c r="G9" s="6">
        <v>6.06</v>
      </c>
      <c r="H9" s="6">
        <v>6.35</v>
      </c>
      <c r="I9" s="6">
        <v>6.27</v>
      </c>
      <c r="J9" s="6">
        <v>6.35</v>
      </c>
      <c r="K9" s="6">
        <v>6.32</v>
      </c>
      <c r="L9" s="6">
        <v>6.4</v>
      </c>
      <c r="M9" s="6"/>
      <c r="N9">
        <f>K9*Population!P10</f>
        <v>8315976.0800000001</v>
      </c>
      <c r="O9" s="6" t="s">
        <v>27</v>
      </c>
      <c r="P9" s="6">
        <v>2.29</v>
      </c>
      <c r="Q9" s="6">
        <v>2.2799999999999998</v>
      </c>
      <c r="R9" s="6">
        <v>2.21</v>
      </c>
      <c r="S9" s="6">
        <v>2.1800000000000002</v>
      </c>
      <c r="T9" s="6">
        <v>2.23</v>
      </c>
      <c r="U9" s="6">
        <v>2.21</v>
      </c>
      <c r="V9" s="6">
        <v>2.19</v>
      </c>
      <c r="W9" s="6"/>
      <c r="X9" s="6"/>
    </row>
    <row r="10" spans="1:25" x14ac:dyDescent="0.35">
      <c r="A10" s="97" t="s">
        <v>30</v>
      </c>
      <c r="C10" s="6" t="s">
        <v>30</v>
      </c>
      <c r="D10" s="6">
        <v>3.28</v>
      </c>
      <c r="E10" s="6"/>
      <c r="F10" s="6"/>
      <c r="G10" s="6">
        <v>3.8</v>
      </c>
      <c r="H10" s="6"/>
      <c r="I10" s="6"/>
      <c r="J10" s="6"/>
      <c r="K10" s="6"/>
      <c r="L10" s="6">
        <v>5.7</v>
      </c>
      <c r="M10" s="6">
        <v>5.75</v>
      </c>
      <c r="O10" s="6" t="s">
        <v>30</v>
      </c>
      <c r="P10" s="6"/>
      <c r="Q10" s="6"/>
      <c r="R10" s="6"/>
      <c r="S10" s="6"/>
      <c r="T10" s="6"/>
      <c r="U10" s="6"/>
      <c r="V10" s="6">
        <v>0.67</v>
      </c>
      <c r="W10" s="6"/>
      <c r="X10" s="6"/>
    </row>
    <row r="11" spans="1:25" x14ac:dyDescent="0.35">
      <c r="A11" s="97" t="s">
        <v>41</v>
      </c>
      <c r="C11" s="6" t="s">
        <v>41</v>
      </c>
      <c r="D11" s="6"/>
      <c r="E11" s="6"/>
      <c r="F11" s="6"/>
      <c r="G11" s="6"/>
      <c r="H11" s="6"/>
      <c r="I11" s="6"/>
      <c r="J11" s="6"/>
      <c r="K11" s="6"/>
      <c r="L11" s="6"/>
      <c r="M11" s="6"/>
      <c r="O11" s="6" t="s">
        <v>41</v>
      </c>
      <c r="P11" s="6"/>
      <c r="Q11" s="6"/>
      <c r="R11" s="6"/>
      <c r="S11" s="6"/>
      <c r="T11" s="6"/>
      <c r="U11" s="6"/>
      <c r="V11" s="6"/>
      <c r="W11" s="6"/>
      <c r="X11" s="6"/>
    </row>
    <row r="12" spans="1:25" x14ac:dyDescent="0.35">
      <c r="A12" s="97" t="s">
        <v>21</v>
      </c>
      <c r="C12" s="6" t="s">
        <v>21</v>
      </c>
      <c r="D12" s="6"/>
      <c r="E12" s="6"/>
      <c r="F12" s="6">
        <v>7.5</v>
      </c>
      <c r="G12" s="6"/>
      <c r="H12" s="6">
        <v>7.36</v>
      </c>
      <c r="I12" s="6"/>
      <c r="J12" s="6"/>
      <c r="K12" s="6">
        <v>7.6</v>
      </c>
      <c r="L12" s="6"/>
      <c r="M12" s="6"/>
      <c r="N12">
        <f>K12*Population!P13</f>
        <v>353492712.39999998</v>
      </c>
      <c r="O12" s="6" t="s">
        <v>21</v>
      </c>
      <c r="P12" s="6">
        <v>1.72</v>
      </c>
      <c r="Q12" s="6">
        <v>1.74</v>
      </c>
      <c r="R12" s="6">
        <v>1.79</v>
      </c>
      <c r="S12" s="6">
        <v>1.86</v>
      </c>
      <c r="T12" s="6">
        <v>1.9</v>
      </c>
      <c r="U12" s="6">
        <v>1.9</v>
      </c>
      <c r="V12" s="6">
        <v>1.98</v>
      </c>
      <c r="W12" s="6"/>
      <c r="X12" s="6"/>
    </row>
    <row r="13" spans="1:25" x14ac:dyDescent="0.35">
      <c r="A13" s="97" t="s">
        <v>15</v>
      </c>
      <c r="C13" s="6" t="s">
        <v>15</v>
      </c>
      <c r="D13" s="6">
        <v>6.8</v>
      </c>
      <c r="E13" s="6">
        <v>6.7</v>
      </c>
      <c r="F13" s="6">
        <v>6.7</v>
      </c>
      <c r="G13" s="6">
        <v>6.7</v>
      </c>
      <c r="H13" s="6">
        <v>6.8</v>
      </c>
      <c r="I13" s="6">
        <v>6.7</v>
      </c>
      <c r="J13" s="6">
        <v>6.4</v>
      </c>
      <c r="K13" s="6">
        <v>6.3</v>
      </c>
      <c r="L13" s="6"/>
      <c r="M13" s="6"/>
      <c r="N13">
        <f>K13*Population!P14</f>
        <v>415436282.09999996</v>
      </c>
      <c r="O13" s="6" t="s">
        <v>15</v>
      </c>
      <c r="P13" s="6">
        <v>0.68</v>
      </c>
      <c r="Q13" s="6">
        <v>0.71</v>
      </c>
      <c r="R13" s="6">
        <v>0.74</v>
      </c>
      <c r="S13" s="6">
        <v>0.74</v>
      </c>
      <c r="T13" s="6">
        <v>0.8</v>
      </c>
      <c r="U13" s="6">
        <v>0.81</v>
      </c>
      <c r="V13" s="6">
        <v>0.61</v>
      </c>
      <c r="W13" s="6"/>
      <c r="X13" s="6"/>
    </row>
    <row r="14" spans="1:25" x14ac:dyDescent="0.35">
      <c r="A14" s="97" t="s">
        <v>39</v>
      </c>
      <c r="C14" s="6" t="s">
        <v>39</v>
      </c>
      <c r="D14" s="6">
        <v>6.37</v>
      </c>
      <c r="E14" s="6">
        <v>5.95</v>
      </c>
      <c r="F14" s="6">
        <v>6.36</v>
      </c>
      <c r="G14" s="6">
        <v>6.07</v>
      </c>
      <c r="H14" s="6">
        <v>6.01</v>
      </c>
      <c r="I14" s="6">
        <v>6.85</v>
      </c>
      <c r="J14" s="6">
        <v>6.08</v>
      </c>
      <c r="K14" s="6">
        <v>6.26</v>
      </c>
      <c r="L14" s="6">
        <v>6.8</v>
      </c>
      <c r="M14" s="6"/>
      <c r="N14">
        <f>K14*Population!P15</f>
        <v>26585024.34</v>
      </c>
      <c r="O14" s="6" t="s">
        <v>39</v>
      </c>
      <c r="P14" s="6">
        <v>1.55</v>
      </c>
      <c r="Q14" s="6">
        <v>1.58</v>
      </c>
      <c r="R14" s="6">
        <v>1.6</v>
      </c>
      <c r="S14" s="6">
        <v>1.58</v>
      </c>
      <c r="T14" s="6">
        <v>1.38</v>
      </c>
      <c r="U14" s="6">
        <v>1.6</v>
      </c>
      <c r="V14" s="6">
        <v>1.79</v>
      </c>
      <c r="W14" s="6"/>
      <c r="X14" s="6"/>
    </row>
    <row r="15" spans="1:25" x14ac:dyDescent="0.35">
      <c r="A15" s="97" t="s">
        <v>13</v>
      </c>
      <c r="C15" s="6" t="s">
        <v>13</v>
      </c>
      <c r="D15" s="6"/>
      <c r="E15" s="6"/>
      <c r="F15" s="6"/>
      <c r="G15" s="6"/>
      <c r="H15" s="6"/>
      <c r="I15" s="6"/>
      <c r="J15" s="6">
        <v>6.8</v>
      </c>
      <c r="K15" s="6"/>
      <c r="L15" s="6"/>
      <c r="M15" s="6"/>
      <c r="O15" s="6" t="s">
        <v>13</v>
      </c>
      <c r="P15" s="6"/>
      <c r="Q15" s="6"/>
      <c r="R15" s="6"/>
      <c r="S15" s="6"/>
      <c r="T15" s="6"/>
      <c r="U15" s="6"/>
      <c r="V15" s="6"/>
      <c r="W15" s="6"/>
      <c r="X15" s="6"/>
    </row>
    <row r="16" spans="1:25" x14ac:dyDescent="0.35">
      <c r="A16" s="97" t="s">
        <v>50</v>
      </c>
      <c r="C16" s="6" t="s">
        <v>50</v>
      </c>
      <c r="D16" s="6">
        <v>2.08</v>
      </c>
      <c r="E16" s="6">
        <v>2.13</v>
      </c>
      <c r="F16" s="6">
        <v>2.2599999999999998</v>
      </c>
      <c r="G16" s="6">
        <v>2.31</v>
      </c>
      <c r="H16" s="6">
        <v>2.34</v>
      </c>
      <c r="I16" s="6">
        <v>2.44</v>
      </c>
      <c r="J16" s="6">
        <v>2.36</v>
      </c>
      <c r="K16" s="6">
        <v>2.16</v>
      </c>
      <c r="L16" s="6">
        <v>2.1800000000000002</v>
      </c>
      <c r="M16" s="6"/>
      <c r="N16">
        <f>K16*Population!P17</f>
        <v>1853280.0000000002</v>
      </c>
      <c r="O16" s="6" t="s">
        <v>50</v>
      </c>
      <c r="P16" s="6">
        <v>1.41</v>
      </c>
      <c r="Q16" s="6">
        <v>1.49</v>
      </c>
      <c r="R16" s="6">
        <v>1.1599999999999999</v>
      </c>
      <c r="S16" s="6">
        <v>1.17</v>
      </c>
      <c r="T16" s="6">
        <v>1.19</v>
      </c>
      <c r="U16" s="6">
        <v>1.23</v>
      </c>
      <c r="V16" s="6">
        <v>1.25</v>
      </c>
      <c r="W16" s="6"/>
      <c r="X16" s="6"/>
    </row>
    <row r="17" spans="1:24" x14ac:dyDescent="0.35">
      <c r="A17" s="97" t="s">
        <v>23</v>
      </c>
      <c r="C17" s="6" t="s">
        <v>23</v>
      </c>
      <c r="D17" s="6">
        <v>6</v>
      </c>
      <c r="E17" s="6">
        <v>6.2</v>
      </c>
      <c r="F17" s="6">
        <v>5.9</v>
      </c>
      <c r="G17" s="6">
        <v>5.9</v>
      </c>
      <c r="H17" s="6">
        <v>6.3</v>
      </c>
      <c r="I17" s="6">
        <v>7</v>
      </c>
      <c r="J17" s="6">
        <v>6.2</v>
      </c>
      <c r="K17" s="6">
        <v>5.8</v>
      </c>
      <c r="L17" s="6">
        <v>5.9</v>
      </c>
      <c r="M17" s="6"/>
      <c r="N17">
        <f>K17*Population!P18</f>
        <v>11608514.4</v>
      </c>
      <c r="O17" s="6" t="s">
        <v>23</v>
      </c>
      <c r="P17" s="6">
        <v>1.1399999999999999</v>
      </c>
      <c r="Q17" s="6">
        <v>1.1399999999999999</v>
      </c>
      <c r="R17" s="6">
        <v>1.07</v>
      </c>
      <c r="S17" s="6">
        <v>1.1000000000000001</v>
      </c>
      <c r="T17" s="6">
        <v>1.19</v>
      </c>
      <c r="U17" s="6">
        <v>1.27</v>
      </c>
      <c r="V17" s="6">
        <v>1.24</v>
      </c>
      <c r="W17" s="6"/>
      <c r="X17" s="6"/>
    </row>
    <row r="18" spans="1:24" x14ac:dyDescent="0.35">
      <c r="A18" s="97" t="s">
        <v>36</v>
      </c>
      <c r="C18" s="6" t="s">
        <v>36</v>
      </c>
      <c r="D18" s="6">
        <v>7.15</v>
      </c>
      <c r="E18" s="6">
        <v>7.31</v>
      </c>
      <c r="F18" s="6">
        <v>7.23</v>
      </c>
      <c r="G18" s="6">
        <v>7.3</v>
      </c>
      <c r="H18" s="6">
        <v>7.65</v>
      </c>
      <c r="I18" s="6">
        <v>7.98</v>
      </c>
      <c r="J18" s="6">
        <v>8.11</v>
      </c>
      <c r="K18" s="6">
        <v>8.6300000000000008</v>
      </c>
      <c r="L18" s="6">
        <v>8.82</v>
      </c>
      <c r="M18" s="6"/>
      <c r="N18">
        <f>K18*Population!P19</f>
        <v>25402163.360000003</v>
      </c>
      <c r="O18" s="6" t="s">
        <v>36</v>
      </c>
      <c r="P18" s="6">
        <v>1.46</v>
      </c>
      <c r="Q18" s="6">
        <v>1.51</v>
      </c>
      <c r="R18" s="6">
        <v>1.52</v>
      </c>
      <c r="S18" s="6">
        <v>1.63</v>
      </c>
      <c r="T18" s="6">
        <v>1.78</v>
      </c>
      <c r="U18" s="6">
        <v>1.83</v>
      </c>
      <c r="V18" s="6">
        <v>1.86</v>
      </c>
      <c r="W18" s="6"/>
      <c r="X18" s="6"/>
    </row>
    <row r="19" spans="1:24" x14ac:dyDescent="0.35">
      <c r="A19" s="97" t="s">
        <v>33</v>
      </c>
      <c r="C19" s="6" t="s">
        <v>33</v>
      </c>
      <c r="D19" s="6">
        <v>6.02</v>
      </c>
      <c r="E19" s="6">
        <v>6.08</v>
      </c>
      <c r="F19" s="6">
        <v>6.13</v>
      </c>
      <c r="G19" s="6">
        <v>5.88</v>
      </c>
      <c r="H19" s="6">
        <v>6.02</v>
      </c>
      <c r="I19" s="6">
        <v>6</v>
      </c>
      <c r="J19" s="6">
        <v>5.98</v>
      </c>
      <c r="K19" s="6">
        <v>5.91</v>
      </c>
      <c r="L19" s="6">
        <v>5.84</v>
      </c>
      <c r="M19" s="6"/>
      <c r="N19">
        <f>K19*Population!P20</f>
        <v>3248608.8000000003</v>
      </c>
      <c r="O19" s="6" t="s">
        <v>33</v>
      </c>
      <c r="P19" s="6"/>
      <c r="Q19" s="6"/>
      <c r="R19" s="6"/>
      <c r="S19" s="6"/>
      <c r="T19" s="6"/>
      <c r="U19" s="6"/>
      <c r="V19" s="6"/>
      <c r="W19" s="6"/>
      <c r="X19" s="6"/>
    </row>
    <row r="20" spans="1:24" x14ac:dyDescent="0.35">
      <c r="A20" s="97" t="s">
        <v>29</v>
      </c>
      <c r="C20" s="6" t="s">
        <v>29</v>
      </c>
      <c r="D20" s="6">
        <v>10.79</v>
      </c>
      <c r="E20" s="6">
        <v>11.27</v>
      </c>
      <c r="F20" s="6">
        <v>11.91</v>
      </c>
      <c r="G20" s="6">
        <v>11.62</v>
      </c>
      <c r="H20" s="6">
        <v>11.82</v>
      </c>
      <c r="I20" s="6">
        <v>11.75</v>
      </c>
      <c r="J20" s="6">
        <v>11.74</v>
      </c>
      <c r="K20" s="6">
        <v>11.81</v>
      </c>
      <c r="L20" s="6">
        <v>11.8</v>
      </c>
      <c r="M20" s="6"/>
      <c r="N20">
        <f>K20*Population!P21</f>
        <v>116651680.65000001</v>
      </c>
      <c r="O20" s="6" t="s">
        <v>29</v>
      </c>
      <c r="P20" s="6"/>
      <c r="Q20" s="6"/>
      <c r="R20" s="6"/>
      <c r="S20" s="6"/>
      <c r="T20" s="6"/>
      <c r="U20" s="6"/>
      <c r="V20" s="6"/>
      <c r="W20" s="6"/>
      <c r="X20" s="6"/>
    </row>
    <row r="21" spans="1:24" x14ac:dyDescent="0.35">
      <c r="A21" s="97" t="s">
        <v>20</v>
      </c>
      <c r="C21" s="6" t="s">
        <v>20</v>
      </c>
      <c r="D21" s="6"/>
      <c r="E21" s="6"/>
      <c r="F21" s="6"/>
      <c r="G21" s="6"/>
      <c r="H21" s="6"/>
      <c r="I21" s="6"/>
      <c r="J21" s="6"/>
      <c r="K21" s="6"/>
      <c r="L21" s="6"/>
      <c r="M21" s="6"/>
      <c r="O21" s="6" t="s">
        <v>20</v>
      </c>
      <c r="P21" s="6">
        <v>0.88</v>
      </c>
      <c r="Q21" s="6">
        <v>0.95</v>
      </c>
      <c r="R21" s="6">
        <v>1.29</v>
      </c>
      <c r="S21" s="6">
        <v>1.64</v>
      </c>
      <c r="T21" s="6">
        <v>1.63</v>
      </c>
      <c r="U21" s="6">
        <v>1.72</v>
      </c>
      <c r="V21" s="6">
        <v>1.88</v>
      </c>
      <c r="W21" s="6"/>
      <c r="X21" s="6"/>
    </row>
    <row r="22" spans="1:24" x14ac:dyDescent="0.35">
      <c r="A22" s="97" t="s">
        <v>18</v>
      </c>
      <c r="C22" s="6" t="s">
        <v>18</v>
      </c>
      <c r="D22" s="6">
        <v>5.7</v>
      </c>
      <c r="E22" s="6">
        <v>5.9</v>
      </c>
      <c r="F22" s="6">
        <v>5.7</v>
      </c>
      <c r="G22" s="6">
        <v>6.6</v>
      </c>
      <c r="H22" s="6">
        <v>6.6</v>
      </c>
      <c r="I22" s="6">
        <v>6.2</v>
      </c>
      <c r="J22" s="6">
        <v>6.2</v>
      </c>
      <c r="K22" s="6">
        <v>8</v>
      </c>
      <c r="L22" s="6">
        <v>8.23</v>
      </c>
      <c r="M22" s="6"/>
      <c r="N22">
        <f>K22*Population!P23</f>
        <v>134634312</v>
      </c>
      <c r="O22" s="6" t="s">
        <v>18</v>
      </c>
      <c r="P22" s="6">
        <v>1.56</v>
      </c>
      <c r="Q22" s="6">
        <v>1.66</v>
      </c>
      <c r="R22" s="6">
        <v>1.8</v>
      </c>
      <c r="S22" s="6"/>
      <c r="T22" s="6"/>
      <c r="U22" s="6"/>
      <c r="V22" s="6"/>
      <c r="W22" s="6"/>
      <c r="X22" s="6"/>
    </row>
    <row r="23" spans="1:24" x14ac:dyDescent="0.35">
      <c r="A23" s="97" t="s">
        <v>28</v>
      </c>
      <c r="C23" s="6" t="s">
        <v>28</v>
      </c>
      <c r="D23" s="6">
        <v>6.8</v>
      </c>
      <c r="E23" s="6">
        <v>6.9</v>
      </c>
      <c r="F23" s="6">
        <v>6.9</v>
      </c>
      <c r="G23" s="6">
        <v>6.9</v>
      </c>
      <c r="H23" s="6">
        <v>6.9</v>
      </c>
      <c r="I23" s="6">
        <v>6.82</v>
      </c>
      <c r="J23" s="6">
        <v>6.82</v>
      </c>
      <c r="K23" s="6">
        <v>6.77</v>
      </c>
      <c r="L23" s="6">
        <v>6.62</v>
      </c>
      <c r="M23" s="6"/>
      <c r="N23">
        <f>K23*Population!P24</f>
        <v>57597711.219999999</v>
      </c>
      <c r="O23" s="6" t="s">
        <v>28</v>
      </c>
      <c r="P23" s="6"/>
      <c r="Q23" s="6"/>
      <c r="R23" s="6"/>
      <c r="S23" s="6"/>
      <c r="T23" s="6"/>
      <c r="U23" s="6"/>
      <c r="V23" s="6"/>
      <c r="W23" s="6"/>
      <c r="X23" s="6"/>
    </row>
    <row r="24" spans="1:24" x14ac:dyDescent="0.35">
      <c r="A24" s="97" t="s">
        <v>24</v>
      </c>
      <c r="C24" s="6" t="s">
        <v>24</v>
      </c>
      <c r="D24" s="6">
        <v>6.8</v>
      </c>
      <c r="E24" s="6">
        <v>6.8</v>
      </c>
      <c r="F24" s="6">
        <v>6.8</v>
      </c>
      <c r="G24" s="6">
        <v>6.6</v>
      </c>
      <c r="H24" s="6">
        <v>6.8</v>
      </c>
      <c r="I24" s="6">
        <v>7</v>
      </c>
      <c r="J24" s="6">
        <v>7.1</v>
      </c>
      <c r="K24" s="6">
        <v>7.2</v>
      </c>
      <c r="L24" s="6">
        <v>7.4</v>
      </c>
      <c r="M24" s="6"/>
      <c r="N24">
        <f>K24*Population!P25</f>
        <v>273728563.19999999</v>
      </c>
      <c r="O24" s="6" t="s">
        <v>24</v>
      </c>
      <c r="P24" s="6">
        <v>0.15</v>
      </c>
      <c r="Q24" s="6">
        <v>0.15</v>
      </c>
      <c r="R24" s="6">
        <v>0.16</v>
      </c>
      <c r="S24" s="6">
        <v>0.15</v>
      </c>
      <c r="T24" s="6">
        <v>0.15</v>
      </c>
      <c r="U24" s="6">
        <v>0.16</v>
      </c>
      <c r="V24" s="6">
        <v>0.16</v>
      </c>
      <c r="W24" s="6"/>
      <c r="X24" s="6"/>
    </row>
    <row r="25" spans="1:24" x14ac:dyDescent="0.35">
      <c r="A25" s="97" t="s">
        <v>14</v>
      </c>
      <c r="C25" s="6" t="s">
        <v>14</v>
      </c>
      <c r="D25" s="6">
        <v>4.0999999999999996</v>
      </c>
      <c r="E25" s="6">
        <v>4.5</v>
      </c>
      <c r="F25" s="6">
        <v>4</v>
      </c>
      <c r="G25" s="6">
        <v>4.0999999999999996</v>
      </c>
      <c r="H25" s="6">
        <v>4.2</v>
      </c>
      <c r="I25" s="6">
        <v>4.0999999999999996</v>
      </c>
      <c r="J25" s="6"/>
      <c r="K25" s="6"/>
      <c r="L25" s="6"/>
      <c r="M25" s="6"/>
      <c r="O25" s="6" t="s">
        <v>14</v>
      </c>
      <c r="P25" s="6">
        <v>1.26</v>
      </c>
      <c r="Q25" s="6">
        <v>1.47</v>
      </c>
      <c r="R25" s="6">
        <v>1.42</v>
      </c>
      <c r="S25" s="6">
        <v>1.49</v>
      </c>
      <c r="T25" s="6">
        <v>1.52</v>
      </c>
      <c r="U25" s="6">
        <v>1.59</v>
      </c>
      <c r="V25" s="6">
        <v>1.68</v>
      </c>
      <c r="W25" s="6"/>
      <c r="X25" s="6"/>
    </row>
    <row r="26" spans="1:24" x14ac:dyDescent="0.35">
      <c r="A26" s="97" t="s">
        <v>37</v>
      </c>
      <c r="C26" s="6" t="s">
        <v>37</v>
      </c>
      <c r="D26" s="6">
        <v>4.9000000000000004</v>
      </c>
      <c r="E26" s="6">
        <v>5.0999999999999996</v>
      </c>
      <c r="F26" s="6">
        <v>5.2</v>
      </c>
      <c r="G26" s="6">
        <v>5</v>
      </c>
      <c r="H26" s="6">
        <v>4.8</v>
      </c>
      <c r="I26" s="6">
        <v>4.9000000000000004</v>
      </c>
      <c r="J26" s="6">
        <v>4.8</v>
      </c>
      <c r="K26" s="6">
        <v>5.3</v>
      </c>
      <c r="L26" s="6">
        <v>5.4</v>
      </c>
      <c r="M26" s="6"/>
      <c r="N26">
        <f>K26*Population!P27</f>
        <v>105720748.3</v>
      </c>
      <c r="O26" s="6" t="s">
        <v>37</v>
      </c>
      <c r="P26" s="6">
        <v>0.92</v>
      </c>
      <c r="Q26" s="6">
        <v>1.07</v>
      </c>
      <c r="R26" s="6">
        <v>1.1599999999999999</v>
      </c>
      <c r="S26" s="6">
        <v>1.04</v>
      </c>
      <c r="T26" s="6">
        <v>1</v>
      </c>
      <c r="U26" s="6">
        <v>1.08</v>
      </c>
      <c r="V26" s="6">
        <v>1.0900000000000001</v>
      </c>
      <c r="W26" s="6"/>
      <c r="X26" s="6"/>
    </row>
    <row r="27" spans="1:24" x14ac:dyDescent="0.35">
      <c r="A27" s="97" t="s">
        <v>16</v>
      </c>
      <c r="C27" s="6" t="s">
        <v>16</v>
      </c>
      <c r="D27" s="6">
        <v>6.7</v>
      </c>
      <c r="E27" s="6">
        <v>6.7</v>
      </c>
      <c r="F27" s="6">
        <v>6.6</v>
      </c>
      <c r="G27" s="6">
        <v>6.4</v>
      </c>
      <c r="H27" s="6">
        <v>6.5</v>
      </c>
      <c r="I27" s="6">
        <v>6.3</v>
      </c>
      <c r="J27" s="6">
        <v>6.5</v>
      </c>
      <c r="K27" s="6">
        <v>6.6</v>
      </c>
      <c r="L27" s="6">
        <v>6.8</v>
      </c>
      <c r="M27" s="6"/>
      <c r="N27">
        <f>K27*Population!P28</f>
        <v>13603161</v>
      </c>
      <c r="O27" s="6" t="s">
        <v>16</v>
      </c>
      <c r="P27" s="6"/>
      <c r="Q27" s="6"/>
      <c r="R27" s="6"/>
      <c r="S27" s="6"/>
      <c r="T27" s="6"/>
      <c r="U27" s="6"/>
      <c r="V27" s="6"/>
      <c r="W27" s="6"/>
      <c r="X27" s="6"/>
    </row>
    <row r="28" spans="1:24" x14ac:dyDescent="0.35">
      <c r="A28" s="97" t="s">
        <v>51</v>
      </c>
      <c r="C28" s="6" t="s">
        <v>51</v>
      </c>
      <c r="D28" s="6">
        <v>11.21</v>
      </c>
      <c r="E28" s="6">
        <v>12.1</v>
      </c>
      <c r="F28" s="6">
        <v>11.56</v>
      </c>
      <c r="G28" s="6">
        <v>11.57</v>
      </c>
      <c r="H28" s="6">
        <v>11.02</v>
      </c>
      <c r="I28" s="6">
        <v>11.16</v>
      </c>
      <c r="J28" s="6">
        <v>11.04</v>
      </c>
      <c r="K28" s="6">
        <v>11.28</v>
      </c>
      <c r="L28" s="6">
        <v>11.41</v>
      </c>
      <c r="M28" s="6"/>
      <c r="N28">
        <f>K28*Population!P29</f>
        <v>61091904.719999999</v>
      </c>
      <c r="O28" s="6" t="s">
        <v>51</v>
      </c>
      <c r="P28" s="6"/>
      <c r="Q28" s="6"/>
      <c r="R28" s="6"/>
      <c r="S28" s="6"/>
      <c r="T28" s="6"/>
      <c r="U28" s="6"/>
      <c r="V28" s="6"/>
      <c r="W28" s="6"/>
      <c r="X28" s="6"/>
    </row>
    <row r="29" spans="1:24" x14ac:dyDescent="0.35">
      <c r="A29" s="97" t="s">
        <v>17</v>
      </c>
      <c r="C29" s="6" t="s">
        <v>17</v>
      </c>
      <c r="D29" s="6">
        <v>4.2</v>
      </c>
      <c r="E29" s="6">
        <v>4.3</v>
      </c>
      <c r="F29" s="6">
        <v>4.2</v>
      </c>
      <c r="G29" s="6">
        <v>4.3</v>
      </c>
      <c r="H29" s="6">
        <v>4.2</v>
      </c>
      <c r="I29" s="6">
        <v>4.2</v>
      </c>
      <c r="J29" s="6">
        <v>4.2</v>
      </c>
      <c r="K29" s="6">
        <v>4.2</v>
      </c>
      <c r="L29" s="6">
        <v>4.3</v>
      </c>
      <c r="M29" s="6"/>
      <c r="N29">
        <f>K29*Population!P30</f>
        <v>22895334</v>
      </c>
      <c r="O29" s="6" t="s">
        <v>17</v>
      </c>
      <c r="P29" s="6">
        <v>1.32</v>
      </c>
      <c r="Q29" s="6">
        <v>1.4</v>
      </c>
      <c r="R29" s="6">
        <v>1.4</v>
      </c>
      <c r="S29" s="6">
        <v>1.47</v>
      </c>
      <c r="T29" s="6">
        <v>1.53</v>
      </c>
      <c r="U29" s="6">
        <v>1.54</v>
      </c>
      <c r="V29" s="6">
        <v>1.57</v>
      </c>
      <c r="W29" s="6"/>
      <c r="X29" s="6"/>
    </row>
    <row r="30" spans="1:24" x14ac:dyDescent="0.35">
      <c r="A30" s="97" t="s">
        <v>19</v>
      </c>
      <c r="C30" s="6" t="s">
        <v>19</v>
      </c>
      <c r="D30" s="6">
        <v>2.82</v>
      </c>
      <c r="E30" s="6">
        <v>2.86</v>
      </c>
      <c r="F30" s="6">
        <v>2.88</v>
      </c>
      <c r="G30" s="6">
        <v>2.91</v>
      </c>
      <c r="H30" s="6">
        <v>2.95</v>
      </c>
      <c r="I30" s="6">
        <v>2.94</v>
      </c>
      <c r="J30" s="6">
        <v>2.93</v>
      </c>
      <c r="K30" s="6">
        <v>2.91</v>
      </c>
      <c r="L30" s="6">
        <v>2.87</v>
      </c>
      <c r="M30" s="6"/>
      <c r="N30">
        <f>K30*Population!P31</f>
        <v>28066554.240000002</v>
      </c>
      <c r="O30" s="6" t="s">
        <v>19</v>
      </c>
      <c r="P30" s="6">
        <v>0.95</v>
      </c>
      <c r="Q30" s="6">
        <v>0.97</v>
      </c>
      <c r="R30" s="6">
        <v>0.97</v>
      </c>
      <c r="S30" s="6">
        <v>1</v>
      </c>
      <c r="T30" s="6">
        <v>1.02</v>
      </c>
      <c r="U30" s="6">
        <v>1.02</v>
      </c>
      <c r="V30" s="6"/>
      <c r="W30" s="6"/>
      <c r="X30" s="6"/>
    </row>
    <row r="31" spans="1:24" x14ac:dyDescent="0.35">
      <c r="A31" s="102" t="s">
        <v>25</v>
      </c>
      <c r="C31" s="6" t="s">
        <v>25</v>
      </c>
      <c r="D31" s="6">
        <v>5</v>
      </c>
      <c r="E31" s="6">
        <v>5.9</v>
      </c>
      <c r="F31" s="6">
        <v>5</v>
      </c>
      <c r="G31" s="6"/>
      <c r="H31" s="6"/>
      <c r="I31" s="6"/>
      <c r="J31" s="6"/>
      <c r="K31" s="6"/>
      <c r="L31" s="6"/>
      <c r="M31" s="6"/>
      <c r="O31" s="6" t="s">
        <v>25</v>
      </c>
      <c r="P31" s="6"/>
      <c r="Q31" s="6"/>
      <c r="R31" s="6"/>
      <c r="S31" s="6"/>
      <c r="T31" s="6"/>
      <c r="U31" s="6"/>
      <c r="V31" s="6"/>
      <c r="W31" s="6"/>
      <c r="X31" s="6"/>
    </row>
    <row r="32" spans="1:24" x14ac:dyDescent="0.35">
      <c r="A32" s="104"/>
    </row>
    <row r="33" spans="1:24" x14ac:dyDescent="0.35">
      <c r="A33" s="106" t="s">
        <v>31</v>
      </c>
    </row>
    <row r="34" spans="1:24" x14ac:dyDescent="0.35">
      <c r="A34" s="106" t="s">
        <v>32</v>
      </c>
      <c r="C34" s="6" t="s">
        <v>32</v>
      </c>
      <c r="D34" s="6">
        <v>3.8</v>
      </c>
      <c r="E34" s="6">
        <v>3.9</v>
      </c>
      <c r="F34" s="6">
        <v>4</v>
      </c>
      <c r="G34" s="6">
        <v>4.0999999999999996</v>
      </c>
      <c r="H34" s="6">
        <v>4.4000000000000004</v>
      </c>
      <c r="I34" s="6">
        <v>4.4000000000000004</v>
      </c>
      <c r="J34" s="6">
        <v>4.2</v>
      </c>
      <c r="K34" s="6">
        <v>4.3</v>
      </c>
      <c r="L34" s="6">
        <v>4.3</v>
      </c>
      <c r="M34" s="6"/>
      <c r="N34">
        <f>K34*Population!P35</f>
        <v>21964271</v>
      </c>
      <c r="O34" s="6" t="s">
        <v>32</v>
      </c>
      <c r="P34" s="6">
        <v>0.66</v>
      </c>
      <c r="Q34" s="6">
        <v>0.69</v>
      </c>
      <c r="R34" s="6">
        <v>0.74</v>
      </c>
      <c r="S34" s="6">
        <v>0.81</v>
      </c>
      <c r="T34" s="6">
        <v>0.83</v>
      </c>
      <c r="U34" s="6">
        <v>0.83</v>
      </c>
      <c r="V34" s="6">
        <v>0.84</v>
      </c>
      <c r="W34" s="6"/>
      <c r="X34" s="6"/>
    </row>
    <row r="35" spans="1:24" x14ac:dyDescent="0.35">
      <c r="A35" s="106" t="s">
        <v>40</v>
      </c>
    </row>
    <row r="36" spans="1:24" x14ac:dyDescent="0.35">
      <c r="N36">
        <f>SUM(N4:N34)</f>
        <v>2624142940.1099997</v>
      </c>
    </row>
    <row r="38" spans="1:24" x14ac:dyDescent="0.35">
      <c r="C38" s="129" t="s">
        <v>152</v>
      </c>
    </row>
    <row r="39" spans="1:24" x14ac:dyDescent="0.35">
      <c r="C39" s="6" t="s">
        <v>50</v>
      </c>
      <c r="D39" s="6">
        <v>2.08</v>
      </c>
      <c r="E39" s="6">
        <v>2.13</v>
      </c>
      <c r="F39" s="6">
        <v>2.2599999999999998</v>
      </c>
      <c r="G39" s="6">
        <v>2.31</v>
      </c>
      <c r="H39" s="6">
        <v>2.34</v>
      </c>
      <c r="I39" s="6">
        <v>2.44</v>
      </c>
      <c r="J39" s="6">
        <v>2.36</v>
      </c>
      <c r="K39" s="6">
        <v>2.16</v>
      </c>
      <c r="N39" s="6">
        <f>VLOOKUP(C39,Population!$I$2:$P$36,8,FALSE)</f>
        <v>858000</v>
      </c>
    </row>
    <row r="40" spans="1:24" x14ac:dyDescent="0.35">
      <c r="C40" s="6" t="s">
        <v>19</v>
      </c>
      <c r="D40" s="6">
        <v>2.82</v>
      </c>
      <c r="E40" s="6">
        <v>2.86</v>
      </c>
      <c r="F40" s="6">
        <v>2.88</v>
      </c>
      <c r="G40" s="6">
        <v>2.91</v>
      </c>
      <c r="H40" s="6">
        <v>2.95</v>
      </c>
      <c r="I40" s="6">
        <v>2.94</v>
      </c>
      <c r="J40" s="6">
        <v>2.93</v>
      </c>
      <c r="K40" s="6">
        <v>2.91</v>
      </c>
      <c r="N40" s="6">
        <f>VLOOKUP(C40,Population!$I$2:$P$36,8,FALSE)</f>
        <v>9644864</v>
      </c>
    </row>
    <row r="41" spans="1:24" x14ac:dyDescent="0.35">
      <c r="C41" s="6" t="s">
        <v>17</v>
      </c>
      <c r="D41" s="6">
        <v>4.2</v>
      </c>
      <c r="E41" s="6">
        <v>4.3</v>
      </c>
      <c r="F41" s="6">
        <v>4.2</v>
      </c>
      <c r="G41" s="6">
        <v>4.3</v>
      </c>
      <c r="H41" s="6">
        <v>4.2</v>
      </c>
      <c r="I41" s="6">
        <v>4.2</v>
      </c>
      <c r="J41" s="6">
        <v>4.2</v>
      </c>
      <c r="K41" s="6">
        <v>4.2</v>
      </c>
      <c r="N41" s="6">
        <f>VLOOKUP(C41,Population!$I$2:$P$36,8,FALSE)</f>
        <v>5451270</v>
      </c>
    </row>
    <row r="42" spans="1:24" x14ac:dyDescent="0.35">
      <c r="C42" s="6" t="s">
        <v>32</v>
      </c>
      <c r="D42" s="6">
        <v>3.8</v>
      </c>
      <c r="E42" s="6">
        <v>3.9</v>
      </c>
      <c r="F42" s="6">
        <v>4</v>
      </c>
      <c r="G42" s="6">
        <v>4.0999999999999996</v>
      </c>
      <c r="H42" s="6">
        <v>4.4000000000000004</v>
      </c>
      <c r="I42" s="6">
        <v>4.4000000000000004</v>
      </c>
      <c r="J42" s="6">
        <v>4.2</v>
      </c>
      <c r="K42" s="6">
        <v>4.3</v>
      </c>
      <c r="N42" s="6">
        <f>VLOOKUP(C42,Population!$I$2:$P$36,8,FALSE)</f>
        <v>5107970</v>
      </c>
    </row>
    <row r="43" spans="1:24" x14ac:dyDescent="0.35">
      <c r="C43" s="6" t="s">
        <v>26</v>
      </c>
      <c r="D43" s="6">
        <v>4.5</v>
      </c>
      <c r="E43" s="6">
        <v>4.5999999999999996</v>
      </c>
      <c r="F43" s="6">
        <v>4.5999999999999996</v>
      </c>
      <c r="G43" s="6">
        <v>4.5999999999999996</v>
      </c>
      <c r="H43" s="6">
        <v>4.8</v>
      </c>
      <c r="I43" s="6">
        <v>4.7</v>
      </c>
      <c r="J43" s="6">
        <v>4.5999999999999996</v>
      </c>
      <c r="K43" s="6">
        <v>4.5</v>
      </c>
      <c r="N43" s="6">
        <f>VLOOKUP(C43,Population!$I$2:$P$36,8,FALSE)</f>
        <v>5627235</v>
      </c>
    </row>
    <row r="44" spans="1:24" x14ac:dyDescent="0.35">
      <c r="C44" s="6" t="s">
        <v>37</v>
      </c>
      <c r="D44" s="6">
        <v>4.9000000000000004</v>
      </c>
      <c r="E44" s="6">
        <v>5.0999999999999996</v>
      </c>
      <c r="F44" s="6">
        <v>5.2</v>
      </c>
      <c r="G44" s="6">
        <v>5</v>
      </c>
      <c r="H44" s="6">
        <v>4.8</v>
      </c>
      <c r="I44" s="6">
        <v>4.9000000000000004</v>
      </c>
      <c r="J44" s="6">
        <v>4.8</v>
      </c>
      <c r="K44" s="6">
        <v>5.3</v>
      </c>
      <c r="N44" s="6">
        <f>VLOOKUP(C44,Population!$I$2:$P$36,8,FALSE)</f>
        <v>19947311</v>
      </c>
    </row>
    <row r="45" spans="1:24" x14ac:dyDescent="0.35">
      <c r="C45" s="6" t="s">
        <v>23</v>
      </c>
      <c r="D45" s="6">
        <v>6</v>
      </c>
      <c r="E45" s="6">
        <v>6.2</v>
      </c>
      <c r="F45" s="6">
        <v>5.9</v>
      </c>
      <c r="G45" s="6">
        <v>5.9</v>
      </c>
      <c r="H45" s="6">
        <v>6.3</v>
      </c>
      <c r="I45" s="6">
        <v>7</v>
      </c>
      <c r="J45" s="6">
        <v>6.2</v>
      </c>
      <c r="K45" s="6">
        <v>5.8</v>
      </c>
      <c r="N45" s="6">
        <f>VLOOKUP(C45,Population!$I$2:$P$36,8,FALSE)</f>
        <v>2001468</v>
      </c>
    </row>
    <row r="46" spans="1:24" x14ac:dyDescent="0.35">
      <c r="C46" s="6" t="s">
        <v>35</v>
      </c>
      <c r="D46" s="6"/>
      <c r="E46" s="6"/>
      <c r="F46" s="6"/>
      <c r="G46" s="6"/>
      <c r="H46" s="6"/>
      <c r="I46" s="6"/>
      <c r="J46" s="6"/>
      <c r="K46" s="6">
        <v>5.9</v>
      </c>
      <c r="N46" s="6">
        <f>VLOOKUP(C46,Population!$I$2:$P$36,8,FALSE)</f>
        <v>7245677</v>
      </c>
    </row>
    <row r="47" spans="1:24" x14ac:dyDescent="0.35">
      <c r="C47" s="6" t="s">
        <v>33</v>
      </c>
      <c r="D47" s="6">
        <v>6.02</v>
      </c>
      <c r="E47" s="6">
        <v>6.08</v>
      </c>
      <c r="F47" s="6">
        <v>6.13</v>
      </c>
      <c r="G47" s="6">
        <v>5.88</v>
      </c>
      <c r="H47" s="6">
        <v>6.02</v>
      </c>
      <c r="I47" s="6">
        <v>6</v>
      </c>
      <c r="J47" s="6">
        <v>5.98</v>
      </c>
      <c r="K47" s="6">
        <v>5.91</v>
      </c>
      <c r="N47" s="6">
        <f>VLOOKUP(C47,Population!$I$2:$P$36,8,FALSE)</f>
        <v>549680</v>
      </c>
    </row>
    <row r="48" spans="1:24" x14ac:dyDescent="0.35">
      <c r="C48" s="6" t="s">
        <v>39</v>
      </c>
      <c r="D48" s="6">
        <v>6.37</v>
      </c>
      <c r="E48" s="6">
        <v>5.95</v>
      </c>
      <c r="F48" s="6">
        <v>6.36</v>
      </c>
      <c r="G48" s="6">
        <v>6.07</v>
      </c>
      <c r="H48" s="6">
        <v>6.01</v>
      </c>
      <c r="I48" s="6">
        <v>6.85</v>
      </c>
      <c r="J48" s="6">
        <v>6.08</v>
      </c>
      <c r="K48" s="6">
        <v>6.26</v>
      </c>
      <c r="N48" s="6">
        <f>VLOOKUP(C48,Population!$I$2:$P$36,8,FALSE)</f>
        <v>4246809</v>
      </c>
    </row>
    <row r="49" spans="3:14" x14ac:dyDescent="0.35">
      <c r="C49" s="6" t="s">
        <v>15</v>
      </c>
      <c r="D49" s="6">
        <v>6.8</v>
      </c>
      <c r="E49" s="6">
        <v>6.7</v>
      </c>
      <c r="F49" s="6">
        <v>6.7</v>
      </c>
      <c r="G49" s="6">
        <v>6.7</v>
      </c>
      <c r="H49" s="6">
        <v>6.8</v>
      </c>
      <c r="I49" s="6">
        <v>6.7</v>
      </c>
      <c r="J49" s="6">
        <v>6.4</v>
      </c>
      <c r="K49" s="6">
        <v>6.3</v>
      </c>
      <c r="N49" s="6">
        <f>VLOOKUP(C49,Population!$I$2:$P$36,8,FALSE)</f>
        <v>65942267</v>
      </c>
    </row>
    <row r="50" spans="3:14" x14ac:dyDescent="0.35">
      <c r="C50" s="6" t="s">
        <v>27</v>
      </c>
      <c r="D50" s="6">
        <v>6.63</v>
      </c>
      <c r="E50" s="6">
        <v>6.55</v>
      </c>
      <c r="F50" s="6">
        <v>6.32</v>
      </c>
      <c r="G50" s="6">
        <v>6.06</v>
      </c>
      <c r="H50" s="6">
        <v>6.35</v>
      </c>
      <c r="I50" s="6">
        <v>6.27</v>
      </c>
      <c r="J50" s="6">
        <v>6.35</v>
      </c>
      <c r="K50" s="6">
        <v>6.32</v>
      </c>
      <c r="N50" s="6">
        <f>VLOOKUP(C50,Population!$I$2:$P$36,8,FALSE)</f>
        <v>1315819</v>
      </c>
    </row>
    <row r="51" spans="3:14" x14ac:dyDescent="0.35">
      <c r="C51" s="6" t="s">
        <v>16</v>
      </c>
      <c r="D51" s="6">
        <v>6.7</v>
      </c>
      <c r="E51" s="6">
        <v>6.7</v>
      </c>
      <c r="F51" s="6">
        <v>6.6</v>
      </c>
      <c r="G51" s="6">
        <v>6.4</v>
      </c>
      <c r="H51" s="6">
        <v>6.5</v>
      </c>
      <c r="I51" s="6">
        <v>6.3</v>
      </c>
      <c r="J51" s="6">
        <v>6.5</v>
      </c>
      <c r="K51" s="6">
        <v>6.6</v>
      </c>
      <c r="N51" s="6">
        <f>VLOOKUP(C51,Population!$I$2:$P$36,8,FALSE)</f>
        <v>2061085</v>
      </c>
    </row>
    <row r="52" spans="3:14" x14ac:dyDescent="0.35">
      <c r="C52" s="6" t="s">
        <v>22</v>
      </c>
      <c r="D52" s="6">
        <v>6.47</v>
      </c>
      <c r="E52" s="6">
        <v>6.75</v>
      </c>
      <c r="F52" s="6">
        <v>6.85</v>
      </c>
      <c r="G52" s="6">
        <v>6.62</v>
      </c>
      <c r="H52" s="6">
        <v>6.68</v>
      </c>
      <c r="I52" s="6">
        <v>6.71</v>
      </c>
      <c r="J52" s="6">
        <v>6.67</v>
      </c>
      <c r="K52" s="6">
        <v>6.67</v>
      </c>
      <c r="N52" s="6">
        <f>VLOOKUP(C52,Population!$I$2:$P$36,8,FALSE)</f>
        <v>11180840</v>
      </c>
    </row>
    <row r="53" spans="3:14" x14ac:dyDescent="0.35">
      <c r="C53" s="6" t="s">
        <v>28</v>
      </c>
      <c r="D53" s="6">
        <v>6.8</v>
      </c>
      <c r="E53" s="6">
        <v>6.9</v>
      </c>
      <c r="F53" s="6">
        <v>6.9</v>
      </c>
      <c r="G53" s="6">
        <v>6.9</v>
      </c>
      <c r="H53" s="6">
        <v>6.9</v>
      </c>
      <c r="I53" s="6">
        <v>6.82</v>
      </c>
      <c r="J53" s="6">
        <v>6.82</v>
      </c>
      <c r="K53" s="6">
        <v>6.77</v>
      </c>
      <c r="N53" s="6">
        <f>VLOOKUP(C53,Population!$I$2:$P$36,8,FALSE)</f>
        <v>8507786</v>
      </c>
    </row>
    <row r="54" spans="3:14" x14ac:dyDescent="0.35">
      <c r="C54" s="6" t="s">
        <v>24</v>
      </c>
      <c r="D54" s="6">
        <v>6.8</v>
      </c>
      <c r="E54" s="6">
        <v>6.8</v>
      </c>
      <c r="F54" s="6">
        <v>6.8</v>
      </c>
      <c r="G54" s="6">
        <v>6.6</v>
      </c>
      <c r="H54" s="6">
        <v>6.8</v>
      </c>
      <c r="I54" s="6">
        <v>7</v>
      </c>
      <c r="J54" s="6">
        <v>7.1</v>
      </c>
      <c r="K54" s="6">
        <v>7.2</v>
      </c>
      <c r="N54" s="6">
        <f>VLOOKUP(C54,Population!$I$2:$P$36,8,FALSE)</f>
        <v>38017856</v>
      </c>
    </row>
    <row r="55" spans="3:14" x14ac:dyDescent="0.35">
      <c r="C55" s="6" t="s">
        <v>21</v>
      </c>
      <c r="D55" s="6"/>
      <c r="E55" s="6"/>
      <c r="F55" s="6">
        <v>7.5</v>
      </c>
      <c r="G55" s="6"/>
      <c r="H55" s="6">
        <v>7.36</v>
      </c>
      <c r="I55" s="6"/>
      <c r="J55" s="6"/>
      <c r="K55" s="6">
        <v>7.6</v>
      </c>
      <c r="N55" s="6">
        <f>VLOOKUP(C55,Population!$I$2:$P$36,8,FALSE)</f>
        <v>46512199</v>
      </c>
    </row>
    <row r="56" spans="3:14" x14ac:dyDescent="0.35">
      <c r="C56" s="6" t="s">
        <v>18</v>
      </c>
      <c r="D56" s="6">
        <v>5.7</v>
      </c>
      <c r="E56" s="6">
        <v>5.9</v>
      </c>
      <c r="F56" s="6">
        <v>5.7</v>
      </c>
      <c r="G56" s="6">
        <v>6.6</v>
      </c>
      <c r="H56" s="6">
        <v>6.6</v>
      </c>
      <c r="I56" s="6">
        <v>6.2</v>
      </c>
      <c r="J56" s="6">
        <v>6.2</v>
      </c>
      <c r="K56" s="6">
        <v>8</v>
      </c>
      <c r="N56" s="6">
        <f>VLOOKUP(C56,Population!$I$2:$P$36,8,FALSE)</f>
        <v>16829289</v>
      </c>
    </row>
    <row r="57" spans="3:14" x14ac:dyDescent="0.35">
      <c r="C57" s="6" t="s">
        <v>36</v>
      </c>
      <c r="D57" s="6">
        <v>7.15</v>
      </c>
      <c r="E57" s="6">
        <v>7.31</v>
      </c>
      <c r="F57" s="6">
        <v>7.23</v>
      </c>
      <c r="G57" s="6">
        <v>7.3</v>
      </c>
      <c r="H57" s="6">
        <v>7.65</v>
      </c>
      <c r="I57" s="6">
        <v>7.98</v>
      </c>
      <c r="J57" s="6">
        <v>8.11</v>
      </c>
      <c r="K57" s="6">
        <v>8.6300000000000008</v>
      </c>
      <c r="N57" s="6">
        <f>VLOOKUP(C57,Population!$I$2:$P$36,8,FALSE)</f>
        <v>2943472</v>
      </c>
    </row>
    <row r="58" spans="3:14" x14ac:dyDescent="0.35">
      <c r="C58" s="6" t="s">
        <v>49</v>
      </c>
      <c r="D58" s="6">
        <v>8.1</v>
      </c>
      <c r="E58" s="6">
        <v>8.6</v>
      </c>
      <c r="F58" s="6">
        <v>9.1999999999999993</v>
      </c>
      <c r="G58" s="6">
        <v>9.9</v>
      </c>
      <c r="H58" s="6">
        <v>9.6999999999999993</v>
      </c>
      <c r="I58" s="6">
        <v>9.6999999999999993</v>
      </c>
      <c r="J58" s="6">
        <v>9.9</v>
      </c>
      <c r="K58" s="6">
        <v>9.9</v>
      </c>
      <c r="N58" s="6">
        <f>VLOOKUP(C58,Population!$I$2:$P$36,8,FALSE)</f>
        <v>80767463</v>
      </c>
    </row>
    <row r="59" spans="3:14" x14ac:dyDescent="0.35">
      <c r="C59" s="6" t="s">
        <v>51</v>
      </c>
      <c r="D59" s="6">
        <v>11.21</v>
      </c>
      <c r="E59" s="6">
        <v>12.1</v>
      </c>
      <c r="F59" s="6">
        <v>11.56</v>
      </c>
      <c r="G59" s="6">
        <v>11.57</v>
      </c>
      <c r="H59" s="6">
        <v>11.02</v>
      </c>
      <c r="I59" s="6">
        <v>11.16</v>
      </c>
      <c r="J59" s="6">
        <v>11.04</v>
      </c>
      <c r="K59" s="6">
        <v>11.28</v>
      </c>
      <c r="N59" s="6">
        <f>VLOOKUP(C59,Population!$I$2:$P$36,8,FALSE)</f>
        <v>5415949</v>
      </c>
    </row>
    <row r="60" spans="3:14" x14ac:dyDescent="0.35">
      <c r="C60" s="6" t="s">
        <v>29</v>
      </c>
      <c r="D60" s="6">
        <v>10.79</v>
      </c>
      <c r="E60" s="6">
        <v>11.27</v>
      </c>
      <c r="F60" s="6">
        <v>11.91</v>
      </c>
      <c r="G60" s="6">
        <v>11.62</v>
      </c>
      <c r="H60" s="6">
        <v>11.82</v>
      </c>
      <c r="I60" s="6">
        <v>11.75</v>
      </c>
      <c r="J60" s="6">
        <v>11.74</v>
      </c>
      <c r="K60" s="6">
        <v>11.81</v>
      </c>
      <c r="N60" s="6">
        <f>VLOOKUP(C60,Population!$I$2:$P$36,8,FALSE)</f>
        <v>9877365</v>
      </c>
    </row>
    <row r="63" spans="3:14" x14ac:dyDescent="0.35">
      <c r="N63">
        <f>SUM(N39:N60)</f>
        <v>350051674</v>
      </c>
    </row>
    <row r="66" spans="13:14" x14ac:dyDescent="0.35">
      <c r="M66" t="s">
        <v>153</v>
      </c>
      <c r="N66" s="130">
        <f>N36/N63</f>
        <v>7.4964444823937608</v>
      </c>
    </row>
  </sheetData>
  <sortState ref="C39:K70">
    <sortCondition ref="K39:K70"/>
  </sortState>
  <mergeCells count="1">
    <mergeCell ref="C1:M1"/>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5"/>
  <sheetViews>
    <sheetView workbookViewId="0">
      <selection activeCell="F15" sqref="B9:F15"/>
    </sheetView>
  </sheetViews>
  <sheetFormatPr defaultRowHeight="14.5" x14ac:dyDescent="0.35"/>
  <cols>
    <col min="1" max="1" width="1.90625" customWidth="1"/>
    <col min="2" max="2" width="17" bestFit="1" customWidth="1"/>
    <col min="3" max="3" width="10.453125" customWidth="1"/>
    <col min="4" max="4" width="10" customWidth="1"/>
    <col min="5" max="6" width="10.36328125" customWidth="1"/>
    <col min="7" max="7" width="2.6328125" customWidth="1"/>
    <col min="8" max="8" width="17.1796875" customWidth="1"/>
    <col min="9" max="10" width="10.08984375" customWidth="1"/>
    <col min="11" max="11" width="9.36328125" customWidth="1"/>
    <col min="12" max="12" width="10" customWidth="1"/>
    <col min="13" max="13" width="2.453125" customWidth="1"/>
    <col min="14" max="14" width="16.81640625" customWidth="1"/>
    <col min="15" max="15" width="25.36328125" customWidth="1"/>
    <col min="19" max="19" width="9.54296875" customWidth="1"/>
    <col min="20" max="20" width="13.6328125" customWidth="1"/>
  </cols>
  <sheetData>
    <row r="2" spans="2:16" x14ac:dyDescent="0.35">
      <c r="B2" s="10" t="s">
        <v>72</v>
      </c>
      <c r="H2" s="10" t="s">
        <v>73</v>
      </c>
      <c r="O2" s="128" t="s">
        <v>148</v>
      </c>
    </row>
    <row r="3" spans="2:16" ht="23" x14ac:dyDescent="0.35">
      <c r="B3" s="3" t="s">
        <v>74</v>
      </c>
      <c r="C3" s="3" t="s">
        <v>75</v>
      </c>
      <c r="D3" s="3" t="s">
        <v>76</v>
      </c>
      <c r="E3" s="3" t="s">
        <v>77</v>
      </c>
      <c r="F3" s="3" t="s">
        <v>78</v>
      </c>
      <c r="H3" s="3" t="s">
        <v>79</v>
      </c>
      <c r="I3" s="3" t="s">
        <v>75</v>
      </c>
      <c r="J3" s="3" t="s">
        <v>76</v>
      </c>
      <c r="K3" s="3" t="s">
        <v>77</v>
      </c>
      <c r="L3" s="3" t="s">
        <v>78</v>
      </c>
      <c r="O3" s="3"/>
      <c r="P3" s="3" t="s">
        <v>107</v>
      </c>
    </row>
    <row r="4" spans="2:16" x14ac:dyDescent="0.35">
      <c r="B4" s="11" t="s">
        <v>58</v>
      </c>
      <c r="C4" s="12">
        <v>27.071338282000003</v>
      </c>
      <c r="D4" s="14">
        <v>6504.0598306656002</v>
      </c>
      <c r="E4" s="14">
        <v>1231.1960453286633</v>
      </c>
      <c r="F4" s="14">
        <v>9</v>
      </c>
      <c r="H4" s="11" t="s">
        <v>58</v>
      </c>
      <c r="I4" s="12">
        <v>10.0316382439</v>
      </c>
      <c r="J4" s="12">
        <v>5092.1961351199998</v>
      </c>
      <c r="K4" s="12">
        <v>685.9330813225024</v>
      </c>
      <c r="L4" s="12">
        <v>12</v>
      </c>
      <c r="O4" s="6" t="s">
        <v>108</v>
      </c>
      <c r="P4" s="6">
        <v>600</v>
      </c>
    </row>
    <row r="5" spans="2:16" x14ac:dyDescent="0.35">
      <c r="B5" s="11" t="s">
        <v>59</v>
      </c>
      <c r="C5" s="12">
        <v>39</v>
      </c>
      <c r="D5" s="14">
        <v>339.53237133200003</v>
      </c>
      <c r="E5" s="14">
        <v>126.47124729949959</v>
      </c>
      <c r="F5" s="14">
        <v>5</v>
      </c>
      <c r="H5" s="11" t="s">
        <v>59</v>
      </c>
      <c r="I5" s="12">
        <v>27.902444576000001</v>
      </c>
      <c r="J5" s="12">
        <v>54.172122539653998</v>
      </c>
      <c r="K5" s="12">
        <v>43.394318918369329</v>
      </c>
      <c r="L5" s="12">
        <v>3</v>
      </c>
    </row>
    <row r="6" spans="2:16" x14ac:dyDescent="0.35">
      <c r="B6" s="15" t="s">
        <v>69</v>
      </c>
      <c r="C6" s="12">
        <v>960.34487271170008</v>
      </c>
      <c r="D6" s="14">
        <v>960.34487271170008</v>
      </c>
      <c r="E6" s="14">
        <v>960.34487271170008</v>
      </c>
      <c r="F6" s="14">
        <v>1</v>
      </c>
      <c r="H6" s="15" t="s">
        <v>69</v>
      </c>
      <c r="I6" s="12">
        <v>669.68159223489999</v>
      </c>
      <c r="J6" s="12">
        <v>669.68159223489999</v>
      </c>
      <c r="K6" s="12">
        <v>669.68159223489999</v>
      </c>
      <c r="L6" s="12">
        <v>1</v>
      </c>
    </row>
    <row r="7" spans="2:16" x14ac:dyDescent="0.35">
      <c r="B7" s="15" t="s">
        <v>80</v>
      </c>
      <c r="C7" s="12">
        <v>1044</v>
      </c>
      <c r="D7" s="14">
        <v>1044</v>
      </c>
      <c r="E7" s="14">
        <v>1044</v>
      </c>
      <c r="F7" s="14">
        <v>1</v>
      </c>
    </row>
    <row r="9" spans="2:16" x14ac:dyDescent="0.35">
      <c r="B9" s="10" t="s">
        <v>81</v>
      </c>
      <c r="H9" s="148" t="s">
        <v>82</v>
      </c>
    </row>
    <row r="10" spans="2:16" ht="34.5" x14ac:dyDescent="0.35">
      <c r="B10" s="3" t="s">
        <v>83</v>
      </c>
      <c r="C10" s="3" t="s">
        <v>84</v>
      </c>
      <c r="D10" s="3" t="s">
        <v>85</v>
      </c>
      <c r="E10" s="3" t="s">
        <v>86</v>
      </c>
      <c r="F10" s="3" t="s">
        <v>87</v>
      </c>
      <c r="H10" s="3" t="s">
        <v>88</v>
      </c>
      <c r="I10" s="3" t="s">
        <v>84</v>
      </c>
      <c r="J10" s="3" t="s">
        <v>85</v>
      </c>
      <c r="K10" s="3" t="s">
        <v>86</v>
      </c>
      <c r="L10" s="3" t="s">
        <v>87</v>
      </c>
    </row>
    <row r="11" spans="2:16" x14ac:dyDescent="0.35">
      <c r="B11" s="15" t="s">
        <v>67</v>
      </c>
      <c r="C11" s="71">
        <v>0.61</v>
      </c>
      <c r="D11" s="71">
        <v>1</v>
      </c>
      <c r="E11" s="71">
        <v>0.87</v>
      </c>
      <c r="F11" s="12">
        <v>3</v>
      </c>
      <c r="H11" s="15" t="s">
        <v>67</v>
      </c>
      <c r="I11" s="71">
        <v>0.84</v>
      </c>
      <c r="J11" s="71">
        <v>1</v>
      </c>
      <c r="K11" s="71">
        <v>0.94666666666666699</v>
      </c>
      <c r="L11" s="12">
        <v>3</v>
      </c>
    </row>
    <row r="12" spans="2:16" x14ac:dyDescent="0.35">
      <c r="B12" s="15" t="s">
        <v>60</v>
      </c>
      <c r="C12" s="12">
        <v>3168.0023922539999</v>
      </c>
      <c r="D12" s="12">
        <v>4035.0724347597998</v>
      </c>
      <c r="E12" s="12">
        <v>3601.5374135068996</v>
      </c>
      <c r="F12" s="12">
        <v>2</v>
      </c>
      <c r="H12" s="15" t="s">
        <v>60</v>
      </c>
      <c r="I12" s="12">
        <v>958.17831859199998</v>
      </c>
      <c r="J12" s="12">
        <v>2293.7486708541996</v>
      </c>
      <c r="K12" s="12">
        <v>1756.128551664</v>
      </c>
      <c r="L12" s="12">
        <v>3</v>
      </c>
    </row>
    <row r="13" spans="2:16" x14ac:dyDescent="0.35">
      <c r="B13" s="15" t="s">
        <v>66</v>
      </c>
      <c r="C13" s="12">
        <v>23</v>
      </c>
      <c r="D13" s="12">
        <v>23</v>
      </c>
      <c r="E13" s="71">
        <v>0.23</v>
      </c>
      <c r="F13" s="12">
        <v>1</v>
      </c>
      <c r="H13" s="15" t="s">
        <v>89</v>
      </c>
      <c r="I13" s="12">
        <v>60</v>
      </c>
      <c r="J13" s="12">
        <v>60</v>
      </c>
      <c r="K13" s="12">
        <v>60</v>
      </c>
      <c r="L13" s="12">
        <v>1</v>
      </c>
    </row>
    <row r="14" spans="2:16" ht="23" x14ac:dyDescent="0.35">
      <c r="B14" s="15" t="s">
        <v>65</v>
      </c>
      <c r="C14" s="12">
        <v>14.3</v>
      </c>
      <c r="D14" s="12">
        <v>14.3</v>
      </c>
      <c r="E14" s="12">
        <v>14.3</v>
      </c>
      <c r="F14" s="12">
        <v>1</v>
      </c>
      <c r="H14" s="15" t="s">
        <v>90</v>
      </c>
      <c r="I14" s="12">
        <v>34</v>
      </c>
      <c r="J14" s="12">
        <v>34</v>
      </c>
      <c r="K14" s="12">
        <v>34</v>
      </c>
      <c r="L14" s="12">
        <v>1</v>
      </c>
    </row>
    <row r="15" spans="2:16" x14ac:dyDescent="0.35">
      <c r="B15" s="15" t="s">
        <v>91</v>
      </c>
      <c r="C15" s="12">
        <v>0.3572806543789</v>
      </c>
      <c r="D15" s="12">
        <v>0.3572806543789</v>
      </c>
      <c r="E15" s="147">
        <v>0.3572806543789</v>
      </c>
      <c r="F15" s="12">
        <v>1</v>
      </c>
      <c r="H15" s="15" t="s">
        <v>66</v>
      </c>
      <c r="I15" s="12">
        <v>20</v>
      </c>
      <c r="J15" s="12">
        <v>20</v>
      </c>
      <c r="K15" s="71">
        <v>0.2</v>
      </c>
      <c r="L15" s="12">
        <v>1</v>
      </c>
    </row>
    <row r="16" spans="2:16" x14ac:dyDescent="0.35">
      <c r="H16" s="15" t="s">
        <v>61</v>
      </c>
      <c r="I16" s="12">
        <v>1.0900000000000001</v>
      </c>
      <c r="J16" s="12">
        <v>1.0900000000000001</v>
      </c>
      <c r="K16" s="12">
        <v>1.0900000000000001</v>
      </c>
      <c r="L16" s="12">
        <v>1</v>
      </c>
    </row>
    <row r="17" spans="2:12" x14ac:dyDescent="0.35">
      <c r="H17" s="15" t="s">
        <v>92</v>
      </c>
      <c r="I17" s="12">
        <v>0.69</v>
      </c>
      <c r="J17" s="12">
        <v>0.69</v>
      </c>
      <c r="K17" s="12">
        <v>0.69</v>
      </c>
      <c r="L17" s="12">
        <v>1</v>
      </c>
    </row>
    <row r="18" spans="2:12" ht="23" x14ac:dyDescent="0.35">
      <c r="H18" s="15" t="s">
        <v>65</v>
      </c>
      <c r="I18" s="12">
        <v>9.8000000000000007</v>
      </c>
      <c r="J18" s="12">
        <v>9.8000000000000007</v>
      </c>
      <c r="K18" s="12">
        <v>9.8000000000000007</v>
      </c>
      <c r="L18" s="12">
        <v>1</v>
      </c>
    </row>
    <row r="19" spans="2:12" x14ac:dyDescent="0.35">
      <c r="H19" s="15" t="s">
        <v>62</v>
      </c>
      <c r="I19" s="12">
        <v>0.44700000000000001</v>
      </c>
      <c r="J19" s="12">
        <v>0.44700000000000001</v>
      </c>
      <c r="K19" s="147">
        <v>0.44700000000000001</v>
      </c>
      <c r="L19" s="12">
        <v>1</v>
      </c>
    </row>
    <row r="21" spans="2:12" x14ac:dyDescent="0.35">
      <c r="B21" s="10" t="s">
        <v>53</v>
      </c>
      <c r="H21" s="10" t="s">
        <v>93</v>
      </c>
    </row>
    <row r="22" spans="2:12" ht="23" x14ac:dyDescent="0.35">
      <c r="B22" s="3" t="s">
        <v>53</v>
      </c>
      <c r="C22" s="3" t="s">
        <v>54</v>
      </c>
      <c r="D22" s="3" t="s">
        <v>55</v>
      </c>
      <c r="E22" s="3" t="s">
        <v>56</v>
      </c>
      <c r="F22" s="3" t="s">
        <v>57</v>
      </c>
      <c r="H22" s="3" t="s">
        <v>94</v>
      </c>
      <c r="I22" s="3" t="s">
        <v>95</v>
      </c>
      <c r="J22" s="3" t="s">
        <v>96</v>
      </c>
      <c r="K22" s="3" t="s">
        <v>97</v>
      </c>
      <c r="L22" s="3" t="s">
        <v>98</v>
      </c>
    </row>
    <row r="23" spans="2:12" x14ac:dyDescent="0.35">
      <c r="B23" s="11" t="s">
        <v>58</v>
      </c>
      <c r="C23" s="12">
        <v>-83.477656543999998</v>
      </c>
      <c r="D23" s="12">
        <v>4459.0389618600002</v>
      </c>
      <c r="E23" s="12">
        <v>620.58976589056522</v>
      </c>
      <c r="F23" s="12">
        <v>27</v>
      </c>
      <c r="H23" s="11" t="s">
        <v>60</v>
      </c>
      <c r="I23" s="12">
        <v>1953.8411113424002</v>
      </c>
      <c r="J23" s="12">
        <v>382252.45677300001</v>
      </c>
      <c r="K23" s="12">
        <v>67816.2601331193</v>
      </c>
      <c r="L23" s="12">
        <v>9</v>
      </c>
    </row>
    <row r="24" spans="2:12" x14ac:dyDescent="0.35">
      <c r="B24" s="11" t="s">
        <v>59</v>
      </c>
      <c r="C24" s="12">
        <v>-8</v>
      </c>
      <c r="D24" s="12">
        <v>620.48061125879997</v>
      </c>
      <c r="E24" s="12">
        <v>111.25408591097802</v>
      </c>
      <c r="F24" s="12">
        <v>8</v>
      </c>
      <c r="H24" s="11" t="s">
        <v>58</v>
      </c>
      <c r="I24" s="12">
        <v>0</v>
      </c>
      <c r="J24" s="12">
        <v>875.42655471360001</v>
      </c>
      <c r="K24" s="12">
        <v>437.71327735680001</v>
      </c>
      <c r="L24" s="12">
        <v>2</v>
      </c>
    </row>
    <row r="25" spans="2:12" x14ac:dyDescent="0.35">
      <c r="B25" s="11" t="s">
        <v>60</v>
      </c>
      <c r="C25" s="12">
        <v>0</v>
      </c>
      <c r="D25" s="12">
        <v>2310.5163546047997</v>
      </c>
      <c r="E25" s="12">
        <v>1194.71119268404</v>
      </c>
      <c r="F25" s="12">
        <v>5</v>
      </c>
      <c r="H25" s="11" t="s">
        <v>99</v>
      </c>
      <c r="I25" s="12">
        <v>0.12684763395900001</v>
      </c>
      <c r="J25" s="12">
        <v>0.12684763395900001</v>
      </c>
      <c r="K25" s="12">
        <v>0.12684763395900001</v>
      </c>
      <c r="L25" s="12">
        <v>1</v>
      </c>
    </row>
    <row r="26" spans="2:12" x14ac:dyDescent="0.35">
      <c r="B26" s="11" t="s">
        <v>61</v>
      </c>
      <c r="C26" s="12">
        <v>1.0900000000000001</v>
      </c>
      <c r="D26" s="12">
        <v>76</v>
      </c>
      <c r="E26" s="12">
        <v>45.696666666666665</v>
      </c>
      <c r="F26" s="12">
        <v>3</v>
      </c>
    </row>
    <row r="27" spans="2:12" x14ac:dyDescent="0.35">
      <c r="B27" s="11" t="s">
        <v>62</v>
      </c>
      <c r="C27" s="12">
        <v>1.32E-2</v>
      </c>
      <c r="D27" s="12">
        <v>416.31298712185003</v>
      </c>
      <c r="E27" s="12">
        <v>138.78539570728333</v>
      </c>
      <c r="F27" s="12">
        <v>3</v>
      </c>
    </row>
    <row r="28" spans="2:12" x14ac:dyDescent="0.35">
      <c r="B28" s="11" t="s">
        <v>63</v>
      </c>
      <c r="C28" s="12">
        <v>10.199999999999999</v>
      </c>
      <c r="D28" s="12">
        <v>94.4</v>
      </c>
      <c r="E28" s="12">
        <v>52.300000000000004</v>
      </c>
      <c r="F28" s="12">
        <v>2</v>
      </c>
    </row>
    <row r="29" spans="2:12" x14ac:dyDescent="0.35">
      <c r="B29" s="11" t="s">
        <v>64</v>
      </c>
      <c r="C29" s="12">
        <v>0.49567384368599993</v>
      </c>
      <c r="D29" s="12">
        <v>160</v>
      </c>
      <c r="E29" s="12">
        <v>80.247836921843003</v>
      </c>
      <c r="F29" s="12">
        <v>2</v>
      </c>
    </row>
    <row r="30" spans="2:12" x14ac:dyDescent="0.35">
      <c r="B30" s="11" t="s">
        <v>65</v>
      </c>
      <c r="C30" s="12">
        <v>4.2</v>
      </c>
      <c r="D30" s="12">
        <v>209</v>
      </c>
      <c r="E30" s="12">
        <v>106.6</v>
      </c>
      <c r="F30" s="12">
        <v>2</v>
      </c>
    </row>
    <row r="31" spans="2:12" x14ac:dyDescent="0.35">
      <c r="B31" s="11" t="s">
        <v>66</v>
      </c>
      <c r="C31" s="12">
        <v>3</v>
      </c>
      <c r="D31" s="12">
        <v>3</v>
      </c>
      <c r="E31" s="12">
        <v>3</v>
      </c>
      <c r="F31" s="12">
        <v>1</v>
      </c>
    </row>
    <row r="32" spans="2:12" x14ac:dyDescent="0.35">
      <c r="B32" s="11" t="s">
        <v>67</v>
      </c>
      <c r="C32" s="12">
        <v>23</v>
      </c>
      <c r="D32" s="12">
        <v>23</v>
      </c>
      <c r="E32" s="12">
        <v>23</v>
      </c>
      <c r="F32" s="12">
        <v>1</v>
      </c>
    </row>
    <row r="33" spans="2:6" x14ac:dyDescent="0.35">
      <c r="B33" s="11" t="s">
        <v>68</v>
      </c>
      <c r="C33" s="12">
        <v>6851.7008705983999</v>
      </c>
      <c r="D33" s="12">
        <v>6851.7008705983999</v>
      </c>
      <c r="E33" s="12">
        <v>6851.7008705983999</v>
      </c>
      <c r="F33" s="12">
        <v>1</v>
      </c>
    </row>
    <row r="34" spans="2:6" x14ac:dyDescent="0.35">
      <c r="B34" s="11" t="s">
        <v>69</v>
      </c>
      <c r="C34" s="12">
        <v>680.16142766719997</v>
      </c>
      <c r="D34" s="12">
        <v>680.16142766719997</v>
      </c>
      <c r="E34" s="12">
        <v>680.16142766719997</v>
      </c>
      <c r="F34" s="12">
        <v>1</v>
      </c>
    </row>
    <row r="35" spans="2:6" x14ac:dyDescent="0.35">
      <c r="B35" s="11" t="s">
        <v>70</v>
      </c>
      <c r="C35" s="12">
        <v>295.7171116129</v>
      </c>
      <c r="D35" s="12">
        <v>295.7171116129</v>
      </c>
      <c r="E35" s="12">
        <v>295.7171116129</v>
      </c>
      <c r="F35" s="12">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DecisionML</vt:lpstr>
      <vt:lpstr>Nodes</vt:lpstr>
      <vt:lpstr>Population</vt:lpstr>
      <vt:lpstr>DoctorVisits</vt:lpstr>
      <vt:lpstr>Parameters</vt:lpstr>
    </vt:vector>
  </TitlesOfParts>
  <Company>PwC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Windows10PWC</dc:creator>
  <cp:lastModifiedBy>Antonia Auman</cp:lastModifiedBy>
  <dcterms:created xsi:type="dcterms:W3CDTF">2018-05-30T13:23:23Z</dcterms:created>
  <dcterms:modified xsi:type="dcterms:W3CDTF">2018-12-03T17:04:22Z</dcterms:modified>
</cp:coreProperties>
</file>